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kamila.bochenek\AppData\Roaming\iManage\Work\Recent\PG - Corporate\"/>
    </mc:Choice>
  </mc:AlternateContent>
  <xr:revisionPtr revIDLastSave="0" documentId="13_ncr:1_{B1306389-0E88-4959-A065-32DC4DDAC3ED}" xr6:coauthVersionLast="47" xr6:coauthVersionMax="47" xr10:uidLastSave="{00000000-0000-0000-0000-000000000000}"/>
  <bookViews>
    <workbookView xWindow="-120" yWindow="-120" windowWidth="25440" windowHeight="15390" tabRatio="704" firstSheet="2" activeTab="5" xr2:uid="{00000000-000D-0000-FFFF-FFFF00000000}"/>
  </bookViews>
  <sheets>
    <sheet name="Current Capitalisation (DATE)" sheetId="1" r:id="rId1"/>
    <sheet name="ESOP Allocation (DATE)" sheetId="17" r:id="rId2"/>
    <sheet name="Subscriptions" sheetId="7" r:id="rId3"/>
    <sheet name="CLA Conversion" sheetId="11" r:id="rId4"/>
    <sheet name="Warrant" sheetId="15" r:id="rId5"/>
    <sheet name="Secondary" sheetId="16" r:id="rId6"/>
    <sheet name="Post Completion" sheetId="10" r:id="rId7"/>
    <sheet name="Anti-Dilution" sheetId="19" r:id="rId8"/>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6" i="19" l="1"/>
  <c r="M125" i="19"/>
  <c r="M105" i="19"/>
  <c r="M104" i="19"/>
  <c r="J105" i="19"/>
  <c r="J104" i="19"/>
  <c r="C38" i="10"/>
  <c r="A78" i="19" l="1"/>
  <c r="A79" i="19"/>
  <c r="A80" i="19"/>
  <c r="A82" i="19"/>
  <c r="A83" i="19"/>
  <c r="A84" i="19"/>
  <c r="A77" i="19"/>
  <c r="A76" i="19"/>
  <c r="B50" i="19"/>
  <c r="D68" i="19" l="1"/>
  <c r="C68" i="19"/>
  <c r="B68" i="19"/>
  <c r="E33" i="19"/>
  <c r="E32" i="19"/>
  <c r="E12" i="16" l="1"/>
  <c r="C15" i="11"/>
  <c r="G70" i="19"/>
  <c r="E35" i="19"/>
  <c r="D72" i="19"/>
  <c r="B72" i="19"/>
  <c r="C72" i="19"/>
  <c r="G35" i="19" l="1"/>
  <c r="G33" i="19"/>
  <c r="E12" i="10" l="1"/>
  <c r="E11" i="10"/>
  <c r="E26" i="11" l="1"/>
  <c r="E25" i="11"/>
  <c r="E24" i="11"/>
  <c r="G24" i="11" s="1"/>
  <c r="I24" i="11" s="1"/>
  <c r="K24" i="11" s="1"/>
  <c r="C25" i="1" l="1"/>
  <c r="C22" i="17"/>
  <c r="G25" i="11" l="1"/>
  <c r="I25" i="11" s="1"/>
  <c r="G26" i="11"/>
  <c r="I26" i="11" s="1"/>
  <c r="I28" i="11" l="1"/>
  <c r="C26" i="1" l="1"/>
  <c r="G20" i="10"/>
  <c r="G19" i="10"/>
  <c r="F40" i="10"/>
  <c r="F20" i="10"/>
  <c r="F19" i="10"/>
  <c r="E13" i="16"/>
  <c r="A13" i="16"/>
  <c r="A12" i="16"/>
  <c r="I15" i="16" l="1"/>
  <c r="A16" i="17"/>
  <c r="A15" i="17"/>
  <c r="C8" i="17"/>
  <c r="C10" i="17"/>
  <c r="C37" i="10" l="1"/>
  <c r="N37" i="10" s="1"/>
  <c r="E12" i="15"/>
  <c r="C17" i="15"/>
  <c r="A33" i="10"/>
  <c r="A91" i="19" s="1"/>
  <c r="A32" i="10"/>
  <c r="A90" i="19" s="1"/>
  <c r="A29" i="10"/>
  <c r="A87" i="19" s="1"/>
  <c r="A30" i="10"/>
  <c r="A88" i="19" s="1"/>
  <c r="A31" i="10"/>
  <c r="A89" i="19" s="1"/>
  <c r="A28" i="10"/>
  <c r="A86" i="19" s="1"/>
  <c r="H20" i="10"/>
  <c r="H21" i="10"/>
  <c r="G21" i="10"/>
  <c r="G22" i="10"/>
  <c r="K22" i="10" s="1"/>
  <c r="K19" i="10"/>
  <c r="E16" i="10"/>
  <c r="N16" i="10" s="1"/>
  <c r="E15" i="10"/>
  <c r="N15" i="10" s="1"/>
  <c r="N12" i="10"/>
  <c r="C7" i="10"/>
  <c r="E7" i="10"/>
  <c r="I7" i="10"/>
  <c r="H7" i="10"/>
  <c r="F7" i="10"/>
  <c r="G7" i="10"/>
  <c r="A25" i="10"/>
  <c r="A26" i="10"/>
  <c r="A24" i="10"/>
  <c r="A38" i="10"/>
  <c r="A37" i="10"/>
  <c r="A36" i="10"/>
  <c r="A22" i="10"/>
  <c r="A21" i="10"/>
  <c r="A20" i="10"/>
  <c r="A19" i="10"/>
  <c r="A18" i="10"/>
  <c r="A16" i="10"/>
  <c r="A15" i="10"/>
  <c r="A14" i="10"/>
  <c r="A12" i="10"/>
  <c r="A11" i="10"/>
  <c r="K20" i="10" l="1"/>
  <c r="K21" i="10"/>
  <c r="K26" i="11" l="1"/>
  <c r="K25" i="11"/>
  <c r="C28" i="7"/>
  <c r="C23" i="7"/>
  <c r="C31" i="7" s="1"/>
  <c r="C8" i="7" s="1"/>
  <c r="M25" i="1"/>
  <c r="M22" i="1"/>
  <c r="M21" i="1"/>
  <c r="M20" i="1"/>
  <c r="M19" i="1"/>
  <c r="M16" i="1"/>
  <c r="M15" i="1"/>
  <c r="M12" i="1"/>
  <c r="M11" i="1"/>
  <c r="K28" i="11" l="1"/>
  <c r="C28" i="11"/>
  <c r="N20" i="10"/>
  <c r="N19" i="10"/>
  <c r="N11" i="10"/>
  <c r="K16" i="10"/>
  <c r="K15" i="10"/>
  <c r="K12" i="10"/>
  <c r="K11" i="10"/>
  <c r="H40" i="10"/>
  <c r="G40" i="10"/>
  <c r="E34" i="19" s="1"/>
  <c r="G34" i="19" s="1"/>
  <c r="E40" i="10"/>
  <c r="J12" i="1" l="1"/>
  <c r="J15" i="1"/>
  <c r="J16" i="1"/>
  <c r="J19" i="1"/>
  <c r="J20" i="1"/>
  <c r="J21" i="1"/>
  <c r="J22" i="1"/>
  <c r="J11" i="1"/>
  <c r="E28" i="1"/>
  <c r="F28" i="1"/>
  <c r="G28" i="1"/>
  <c r="H28" i="1"/>
  <c r="J28" i="1" l="1"/>
  <c r="M28" i="1"/>
  <c r="C14" i="11" s="1"/>
  <c r="K12" i="1"/>
  <c r="N19" i="1" l="1"/>
  <c r="N15" i="1"/>
  <c r="N12" i="1"/>
  <c r="N25" i="1"/>
  <c r="N11" i="1"/>
  <c r="O13" i="1" s="1"/>
  <c r="N22" i="1"/>
  <c r="N21" i="1"/>
  <c r="N20" i="1"/>
  <c r="N16" i="1"/>
  <c r="K19" i="1"/>
  <c r="K15" i="1"/>
  <c r="K16" i="1"/>
  <c r="K20" i="1"/>
  <c r="K21" i="1"/>
  <c r="K22" i="1"/>
  <c r="K11" i="1"/>
  <c r="O17" i="1" l="1"/>
  <c r="O23" i="1"/>
  <c r="N28" i="1"/>
  <c r="K28" i="1"/>
  <c r="N21" i="10" l="1"/>
  <c r="N22" i="10"/>
  <c r="C28" i="1" l="1"/>
  <c r="C39" i="7" s="1"/>
  <c r="C40" i="7"/>
  <c r="C41" i="7" l="1"/>
  <c r="E31" i="19" l="1"/>
  <c r="C9" i="17"/>
  <c r="N38" i="10"/>
  <c r="C40" i="10"/>
  <c r="C7" i="17" s="1"/>
  <c r="J100" i="19"/>
  <c r="M100" i="19"/>
  <c r="J101" i="19"/>
  <c r="M101" i="19"/>
  <c r="C7" i="19"/>
  <c r="C8" i="19"/>
  <c r="C9" i="19"/>
  <c r="B14" i="19"/>
  <c r="C14" i="19"/>
  <c r="D14" i="19"/>
  <c r="E14" i="19"/>
  <c r="B17" i="19"/>
  <c r="C17" i="19"/>
  <c r="D17" i="19"/>
  <c r="E17" i="19"/>
  <c r="B18" i="19"/>
  <c r="C18" i="19"/>
  <c r="D18" i="19"/>
  <c r="E18" i="19"/>
  <c r="B21" i="19"/>
  <c r="C21" i="19"/>
  <c r="D21" i="19"/>
  <c r="E21" i="19"/>
  <c r="B22" i="19"/>
  <c r="C22" i="19"/>
  <c r="D22" i="19"/>
  <c r="E22" i="19"/>
  <c r="B23" i="19"/>
  <c r="C23" i="19"/>
  <c r="D23" i="19"/>
  <c r="E23" i="19"/>
  <c r="B24" i="19"/>
  <c r="C24" i="19"/>
  <c r="D24" i="19"/>
  <c r="E24" i="19"/>
  <c r="B25" i="19"/>
  <c r="C25" i="19"/>
  <c r="D25" i="19"/>
  <c r="E25" i="19"/>
  <c r="B26" i="19"/>
  <c r="C26" i="19"/>
  <c r="D26" i="19"/>
  <c r="E26" i="19"/>
  <c r="C36" i="19"/>
  <c r="E36" i="19"/>
  <c r="G36" i="19"/>
  <c r="C37" i="19"/>
  <c r="E37" i="19"/>
  <c r="G37" i="19"/>
  <c r="C38" i="19"/>
  <c r="E38" i="19"/>
  <c r="G38" i="19"/>
  <c r="E39" i="19"/>
  <c r="G39" i="19"/>
  <c r="C45" i="19"/>
  <c r="D45" i="19"/>
  <c r="C46" i="19"/>
  <c r="D46" i="19"/>
  <c r="C47" i="19"/>
  <c r="D47" i="19"/>
  <c r="C48" i="19"/>
  <c r="D48" i="19"/>
  <c r="C50" i="19"/>
  <c r="D50" i="19"/>
  <c r="B66" i="19"/>
  <c r="C66" i="19"/>
  <c r="D66" i="19"/>
  <c r="E66" i="19"/>
  <c r="F66" i="19"/>
  <c r="G66" i="19"/>
  <c r="H66" i="19"/>
  <c r="B67" i="19"/>
  <c r="C67" i="19"/>
  <c r="D67" i="19"/>
  <c r="E67" i="19"/>
  <c r="F67" i="19"/>
  <c r="G67" i="19"/>
  <c r="E68" i="19"/>
  <c r="F68" i="19"/>
  <c r="G68" i="19"/>
  <c r="B69" i="19"/>
  <c r="C69" i="19"/>
  <c r="D69" i="19"/>
  <c r="E69" i="19"/>
  <c r="F69" i="19"/>
  <c r="G69" i="19"/>
  <c r="B70" i="19"/>
  <c r="C70" i="19"/>
  <c r="D70" i="19"/>
  <c r="E70" i="19"/>
  <c r="F70" i="19"/>
  <c r="B71" i="19"/>
  <c r="C71" i="19"/>
  <c r="D71" i="19"/>
  <c r="E71" i="19"/>
  <c r="F71" i="19"/>
  <c r="G71" i="19"/>
  <c r="E72" i="19"/>
  <c r="F72" i="19"/>
  <c r="G72" i="19"/>
  <c r="B77" i="19"/>
  <c r="C77" i="19"/>
  <c r="H77" i="19"/>
  <c r="B78" i="19"/>
  <c r="C78" i="19"/>
  <c r="D78" i="19"/>
  <c r="H78" i="19"/>
  <c r="C79" i="19"/>
  <c r="D79" i="19"/>
  <c r="H79" i="19"/>
  <c r="C80" i="19"/>
  <c r="H80" i="19"/>
  <c r="F82" i="19"/>
  <c r="G82" i="19"/>
  <c r="H82" i="19"/>
  <c r="F83" i="19"/>
  <c r="G83" i="19"/>
  <c r="H83" i="19"/>
  <c r="G84" i="19"/>
  <c r="H84" i="19"/>
  <c r="E86" i="19"/>
  <c r="H86" i="19"/>
  <c r="E87" i="19"/>
  <c r="H87" i="19"/>
  <c r="E88" i="19"/>
  <c r="H88" i="19"/>
  <c r="E89" i="19"/>
  <c r="H89" i="19"/>
  <c r="E90" i="19"/>
  <c r="H90" i="19"/>
  <c r="E91" i="19"/>
  <c r="H91" i="19"/>
  <c r="B93" i="19"/>
  <c r="C93" i="19"/>
  <c r="D93" i="19"/>
  <c r="E93" i="19"/>
  <c r="F93" i="19"/>
  <c r="G93" i="19"/>
  <c r="H93" i="19"/>
  <c r="K100" i="19"/>
  <c r="N100" i="19"/>
  <c r="K101" i="19"/>
  <c r="N101" i="19"/>
  <c r="K104" i="19"/>
  <c r="N104" i="19"/>
  <c r="K105" i="19"/>
  <c r="N105" i="19"/>
  <c r="H108" i="19"/>
  <c r="J108" i="19"/>
  <c r="K108" i="19"/>
  <c r="M108" i="19"/>
  <c r="N108" i="19"/>
  <c r="H109" i="19"/>
  <c r="J109" i="19"/>
  <c r="K109" i="19"/>
  <c r="M109" i="19"/>
  <c r="N109" i="19"/>
  <c r="H110" i="19"/>
  <c r="J110" i="19"/>
  <c r="K110" i="19"/>
  <c r="M110" i="19"/>
  <c r="N110" i="19"/>
  <c r="H111" i="19"/>
  <c r="J111" i="19"/>
  <c r="K111" i="19"/>
  <c r="M111" i="19"/>
  <c r="N111" i="19"/>
  <c r="H113" i="19"/>
  <c r="J113" i="19"/>
  <c r="K113" i="19"/>
  <c r="M113" i="19"/>
  <c r="N113" i="19"/>
  <c r="H114" i="19"/>
  <c r="J114" i="19"/>
  <c r="K114" i="19"/>
  <c r="M114" i="19"/>
  <c r="N114" i="19"/>
  <c r="H115" i="19"/>
  <c r="J115" i="19"/>
  <c r="K115" i="19"/>
  <c r="M115" i="19"/>
  <c r="N115" i="19"/>
  <c r="H117" i="19"/>
  <c r="J117" i="19"/>
  <c r="K117" i="19"/>
  <c r="M117" i="19"/>
  <c r="N117" i="19"/>
  <c r="H118" i="19"/>
  <c r="J118" i="19"/>
  <c r="K118" i="19"/>
  <c r="M118" i="19"/>
  <c r="N118" i="19"/>
  <c r="H119" i="19"/>
  <c r="J119" i="19"/>
  <c r="K119" i="19"/>
  <c r="M119" i="19"/>
  <c r="N119" i="19"/>
  <c r="H120" i="19"/>
  <c r="J120" i="19"/>
  <c r="K120" i="19"/>
  <c r="M120" i="19"/>
  <c r="N120" i="19"/>
  <c r="H121" i="19"/>
  <c r="J121" i="19"/>
  <c r="K121" i="19"/>
  <c r="M121" i="19"/>
  <c r="N121" i="19"/>
  <c r="H122" i="19"/>
  <c r="J122" i="19"/>
  <c r="K122" i="19"/>
  <c r="M122" i="19"/>
  <c r="N122" i="19"/>
  <c r="N125" i="19"/>
  <c r="N126" i="19"/>
  <c r="H128" i="19"/>
  <c r="J128" i="19"/>
  <c r="K128" i="19"/>
  <c r="M128" i="19"/>
  <c r="N128" i="19"/>
  <c r="C8" i="11"/>
  <c r="C10" i="11"/>
  <c r="C11" i="11"/>
  <c r="C16" i="11"/>
  <c r="M24" i="11"/>
  <c r="M25" i="11"/>
  <c r="M26" i="11"/>
  <c r="M28" i="11"/>
  <c r="L11" i="10"/>
  <c r="O11" i="10"/>
  <c r="L12" i="10"/>
  <c r="O12" i="10"/>
  <c r="P13" i="10"/>
  <c r="L14" i="10"/>
  <c r="L15" i="10"/>
  <c r="O15" i="10"/>
  <c r="L16" i="10"/>
  <c r="O16" i="10"/>
  <c r="P17" i="10"/>
  <c r="L19" i="10"/>
  <c r="O19" i="10"/>
  <c r="L20" i="10"/>
  <c r="O20" i="10"/>
  <c r="L21" i="10"/>
  <c r="O21" i="10"/>
  <c r="L22" i="10"/>
  <c r="O22" i="10"/>
  <c r="I24" i="10"/>
  <c r="K24" i="10"/>
  <c r="L24" i="10"/>
  <c r="N24" i="10"/>
  <c r="O24" i="10"/>
  <c r="I25" i="10"/>
  <c r="K25" i="10"/>
  <c r="L25" i="10"/>
  <c r="N25" i="10"/>
  <c r="O25" i="10"/>
  <c r="I26" i="10"/>
  <c r="K26" i="10"/>
  <c r="L26" i="10"/>
  <c r="N26" i="10"/>
  <c r="O26" i="10"/>
  <c r="I28" i="10"/>
  <c r="K28" i="10"/>
  <c r="L28" i="10"/>
  <c r="N28" i="10"/>
  <c r="O28" i="10"/>
  <c r="I29" i="10"/>
  <c r="K29" i="10"/>
  <c r="L29" i="10"/>
  <c r="N29" i="10"/>
  <c r="O29" i="10"/>
  <c r="I30" i="10"/>
  <c r="K30" i="10"/>
  <c r="L30" i="10"/>
  <c r="N30" i="10"/>
  <c r="O30" i="10"/>
  <c r="I31" i="10"/>
  <c r="K31" i="10"/>
  <c r="L31" i="10"/>
  <c r="N31" i="10"/>
  <c r="O31" i="10"/>
  <c r="I32" i="10"/>
  <c r="K32" i="10"/>
  <c r="L32" i="10"/>
  <c r="N32" i="10"/>
  <c r="O32" i="10"/>
  <c r="I33" i="10"/>
  <c r="K33" i="10"/>
  <c r="L33" i="10"/>
  <c r="N33" i="10"/>
  <c r="O33" i="10"/>
  <c r="P34" i="10"/>
  <c r="O37" i="10"/>
  <c r="O38" i="10"/>
  <c r="P39" i="10"/>
  <c r="I40" i="10"/>
  <c r="K40" i="10"/>
  <c r="L40" i="10"/>
  <c r="N40" i="10"/>
  <c r="O40" i="10"/>
  <c r="C7" i="16"/>
  <c r="K12" i="16"/>
  <c r="M12" i="16"/>
  <c r="K13" i="16"/>
  <c r="M13" i="16"/>
  <c r="M15" i="16"/>
  <c r="C9" i="7"/>
  <c r="C10" i="7"/>
  <c r="C11" i="7"/>
  <c r="C12" i="7"/>
  <c r="E19" i="7"/>
  <c r="G19" i="7"/>
  <c r="E20" i="7"/>
  <c r="G20" i="7"/>
  <c r="E21" i="7"/>
  <c r="G21" i="7"/>
  <c r="E22" i="7"/>
  <c r="G22" i="7"/>
  <c r="E23" i="7"/>
  <c r="G23" i="7"/>
  <c r="E26" i="7"/>
  <c r="G26" i="7"/>
  <c r="E27" i="7"/>
  <c r="G27" i="7"/>
  <c r="E28" i="7"/>
  <c r="G28" i="7"/>
  <c r="E31" i="7"/>
  <c r="G31" i="7"/>
  <c r="C37" i="7"/>
  <c r="C38" i="7"/>
  <c r="C43" i="7"/>
  <c r="C7" i="15"/>
  <c r="C9" i="15"/>
  <c r="E14" i="15"/>
  <c r="E15" i="15"/>
  <c r="E17" i="15"/>
</calcChain>
</file>

<file path=xl/sharedStrings.xml><?xml version="1.0" encoding="utf-8"?>
<sst xmlns="http://schemas.openxmlformats.org/spreadsheetml/2006/main" count="324" uniqueCount="177">
  <si>
    <t>Investor</t>
  </si>
  <si>
    <t>Shareholder</t>
  </si>
  <si>
    <t>[Name]</t>
  </si>
  <si>
    <t>ESOP</t>
  </si>
  <si>
    <t xml:space="preserve">Peat GmbH </t>
  </si>
  <si>
    <t>Options</t>
  </si>
  <si>
    <t>Shares</t>
  </si>
  <si>
    <t>Founders</t>
  </si>
  <si>
    <t>Totals</t>
  </si>
  <si>
    <t xml:space="preserve">Seed Preferred </t>
  </si>
  <si>
    <t>%</t>
  </si>
  <si>
    <t>Fully Diluted Share Capital (prior to Completion)</t>
  </si>
  <si>
    <t>First Completion</t>
  </si>
  <si>
    <t>sub total:</t>
  </si>
  <si>
    <t>Second Completion</t>
  </si>
  <si>
    <t>Post-Completion FDSC</t>
  </si>
  <si>
    <t>Current Unallocated Option Pool (Shares)</t>
  </si>
  <si>
    <t>Top-up of Unallocated Option Pool (Shares)</t>
  </si>
  <si>
    <t>Target Amount</t>
  </si>
  <si>
    <t>Actual Amount</t>
  </si>
  <si>
    <t>ESOP top-up calculations</t>
  </si>
  <si>
    <t>Current Allocated Option Pool (Shares)</t>
  </si>
  <si>
    <t xml:space="preserve">Class of Shares </t>
  </si>
  <si>
    <t>Unallocated</t>
  </si>
  <si>
    <t>Discount</t>
  </si>
  <si>
    <t>Discount (%)</t>
  </si>
  <si>
    <t>Valuation Cap</t>
  </si>
  <si>
    <t>Applicable Price</t>
  </si>
  <si>
    <t>Interest Rate (%)</t>
  </si>
  <si>
    <t>Deemed Conversion Date</t>
  </si>
  <si>
    <t>Date of Issue</t>
  </si>
  <si>
    <t>Days outstanding</t>
  </si>
  <si>
    <t>Number of</t>
  </si>
  <si>
    <t>[Holder 1]</t>
  </si>
  <si>
    <t>[Holder 2]</t>
  </si>
  <si>
    <t>[Holder 3]</t>
  </si>
  <si>
    <t>Preferred Shareholders / Investors</t>
  </si>
  <si>
    <t xml:space="preserve">Series A Preferred </t>
  </si>
  <si>
    <t>Series B Preferred</t>
  </si>
  <si>
    <t>[Investor 1]</t>
  </si>
  <si>
    <t>[Investor 2]</t>
  </si>
  <si>
    <t>[Investor 3]</t>
  </si>
  <si>
    <t>[Investor 4]</t>
  </si>
  <si>
    <t>[Investor 5]</t>
  </si>
  <si>
    <t>[Investor 6]</t>
  </si>
  <si>
    <t>Series C Preferred</t>
  </si>
  <si>
    <t>Target Unallocated Option Pool (%age) of FDSC</t>
  </si>
  <si>
    <r>
      <rPr>
        <b/>
        <sz val="10"/>
        <color rgb="FF0000FF"/>
        <rFont val="Arial"/>
        <family val="2"/>
      </rPr>
      <t xml:space="preserve"> Blue</t>
    </r>
    <r>
      <rPr>
        <sz val="10"/>
        <rFont val="Arial"/>
        <family val="2"/>
      </rPr>
      <t xml:space="preserve"> - constants and hard-coded numbers like historical data and assumptions.</t>
    </r>
  </si>
  <si>
    <r>
      <rPr>
        <b/>
        <sz val="10"/>
        <rFont val="Arial"/>
        <family val="2"/>
      </rPr>
      <t xml:space="preserve"> Black</t>
    </r>
    <r>
      <rPr>
        <sz val="10"/>
        <rFont val="Arial"/>
        <family val="2"/>
      </rPr>
      <t xml:space="preserve"> - formulas linked to other cells within the same worksheet.</t>
    </r>
  </si>
  <si>
    <r>
      <rPr>
        <b/>
        <sz val="10"/>
        <color rgb="FF00B050"/>
        <rFont val="Arial"/>
        <family val="2"/>
      </rPr>
      <t xml:space="preserve"> Green</t>
    </r>
    <r>
      <rPr>
        <sz val="10"/>
        <color theme="1"/>
        <rFont val="Arial"/>
        <family val="2"/>
      </rPr>
      <t xml:space="preserve"> - for formulas with links to other worksheets within the same file.</t>
    </r>
  </si>
  <si>
    <t>Current Option Pool (unallocated + allocated)</t>
  </si>
  <si>
    <t xml:space="preserve">Target Primary Investment (new money) </t>
  </si>
  <si>
    <t xml:space="preserve">Price Per Share </t>
  </si>
  <si>
    <t xml:space="preserve">Nominal Amount Per Share </t>
  </si>
  <si>
    <t>Price Per Preferred Series C Share</t>
  </si>
  <si>
    <t>CLA Holder</t>
  </si>
  <si>
    <t>Principal Amount + Interest</t>
  </si>
  <si>
    <t>Note: insert target completion date (to be agreed)</t>
  </si>
  <si>
    <t>Warrant Share Price</t>
  </si>
  <si>
    <t>Warrant Holder</t>
  </si>
  <si>
    <t xml:space="preserve">Principal Amount of CLA
</t>
  </si>
  <si>
    <t xml:space="preserve">Warrant Amount
</t>
  </si>
  <si>
    <t xml:space="preserve"> Note: "Fully Diluted" means including any CLAs, warrants, ESOP etc. </t>
  </si>
  <si>
    <t>Post-money Valuation</t>
  </si>
  <si>
    <t xml:space="preserve">Pre-money Valuation </t>
  </si>
  <si>
    <t>Actual Investment</t>
  </si>
  <si>
    <t>Warrant Discount (%)</t>
  </si>
  <si>
    <t>Seller</t>
  </si>
  <si>
    <t xml:space="preserve">Buyer 
</t>
  </si>
  <si>
    <t xml:space="preserve">Number of Shares </t>
  </si>
  <si>
    <t>Price per Share</t>
  </si>
  <si>
    <t>[Founder 1]</t>
  </si>
  <si>
    <t>[Founder 2]</t>
  </si>
  <si>
    <t>[Shareholder 1]</t>
  </si>
  <si>
    <t>[Shareholder 2]</t>
  </si>
  <si>
    <t>[Shareholder 3]</t>
  </si>
  <si>
    <t>[Shareholder 4]</t>
  </si>
  <si>
    <t>Allocated</t>
  </si>
  <si>
    <t>Total ESOP (allocated and unallocated)</t>
  </si>
  <si>
    <t>ESOP Allocated</t>
  </si>
  <si>
    <t xml:space="preserve">ESOP Unallocated </t>
  </si>
  <si>
    <t xml:space="preserve">Target Size of ESOP ( % of FDSC) </t>
  </si>
  <si>
    <t>Strike Price</t>
  </si>
  <si>
    <t xml:space="preserve">ESOP Beneficiary </t>
  </si>
  <si>
    <t xml:space="preserve">Vesting </t>
  </si>
  <si>
    <t>Cliff</t>
  </si>
  <si>
    <t xml:space="preserve">Employee 1 </t>
  </si>
  <si>
    <t>Employee 2</t>
  </si>
  <si>
    <t xml:space="preserve">Employee 3 </t>
  </si>
  <si>
    <t>4 years</t>
  </si>
  <si>
    <t>1 year</t>
  </si>
  <si>
    <t>Vesting Start Date</t>
  </si>
  <si>
    <t>XX.XX.XXXX</t>
  </si>
  <si>
    <t>XXXX</t>
  </si>
  <si>
    <t>Aggregate Amount</t>
  </si>
  <si>
    <t>Target Option Pool (Shares)</t>
  </si>
  <si>
    <t>Note: check term sheet - is the target option pool only for unallocated portion or whole?</t>
  </si>
  <si>
    <t xml:space="preserve">Interest </t>
  </si>
  <si>
    <t>Valuation Cap - FDSC</t>
  </si>
  <si>
    <t>Valuation Cap - Price</t>
  </si>
  <si>
    <t>Note: Check if the option pool increase is made prior (then add to FDSC) or after the new round (do not add to FDSC)</t>
  </si>
  <si>
    <t>Number of Series C Preferred Shares (Principal + Interest)</t>
  </si>
  <si>
    <t>Note: Check if CLA converts into the most senior class of shares</t>
  </si>
  <si>
    <t xml:space="preserve">Ordinary Shareholders </t>
  </si>
  <si>
    <t xml:space="preserve"> Note: Each Share has a nominal amount of GBP 1.00</t>
  </si>
  <si>
    <t>Ordinary Shares</t>
  </si>
  <si>
    <t>Ordinary</t>
  </si>
  <si>
    <t>Issued Share Capital</t>
  </si>
  <si>
    <t>Fully Diluted Share Capital</t>
  </si>
  <si>
    <t>Options for Ordinary Shares</t>
  </si>
  <si>
    <t>Vested End Date</t>
  </si>
  <si>
    <t>Discount PPS (£)</t>
  </si>
  <si>
    <t>Conversion Price (£)</t>
  </si>
  <si>
    <t>Note: Interest calculation based on 365 days</t>
  </si>
  <si>
    <t>N =</t>
  </si>
  <si>
    <t>WA =</t>
  </si>
  <si>
    <t xml:space="preserve">SIP = </t>
  </si>
  <si>
    <t>Starting Price</t>
  </si>
  <si>
    <t xml:space="preserve">ESC = </t>
  </si>
  <si>
    <t xml:space="preserve">QISP = </t>
  </si>
  <si>
    <t xml:space="preserve">NS = </t>
  </si>
  <si>
    <t>The number of Equity Shares issued or granted pursuant to the Qualifying Issue (or in the case of Relevant Securities issued or granted pursuant to the Qualifying Issue, an equivalent number of Equity Shares to be determined in accordance with Article [10.3]</t>
  </si>
  <si>
    <t xml:space="preserve">Z = </t>
  </si>
  <si>
    <t>Note: This is the lower of Conversion Price vs Valuation Cap Price. Check the CLA terms for details.</t>
  </si>
  <si>
    <t xml:space="preserve">Reverse Vesting </t>
  </si>
  <si>
    <t>Percentage of Shares under Reverse Vesting</t>
  </si>
  <si>
    <t>Vested to date</t>
  </si>
  <si>
    <t>Down Round Valuation</t>
  </si>
  <si>
    <t>Down Round Price Per Share</t>
  </si>
  <si>
    <t>Broad-based weighted average formula</t>
  </si>
  <si>
    <t xml:space="preserve">Number of Anti-Dilution Shares to be issued to the Exercising Investor </t>
  </si>
  <si>
    <t>Price Per Share on previous Investment</t>
  </si>
  <si>
    <r>
      <t xml:space="preserve">(i) the number of Equity Shares in issue, plus (ii) the number of allocated options to subscribe for Ordinary Shares which have been granted under the Share Option Plans, plus (iii) an equivalent number of Equity Shares (to be determined in accordance with Article [10.3]) in respect of any other outstanding Relevant Securities (excluding any </t>
    </r>
    <r>
      <rPr>
        <b/>
        <u/>
        <sz val="10"/>
        <rFont val="Arial"/>
        <family val="2"/>
      </rPr>
      <t>Relevant Securities</t>
    </r>
    <r>
      <rPr>
        <sz val="10"/>
        <rFont val="Arial"/>
        <family val="2"/>
      </rPr>
      <t xml:space="preserve"> in respect of which Equity Shares are being issued pursuant to such Qualifying Issue), in each case immediately prior to the Qualifying Issue</t>
    </r>
  </si>
  <si>
    <t>No. of [Series C Preferred] shares held by Exercising Investor prior to Qualifying Issue</t>
  </si>
  <si>
    <t>Series C Preferred Shares</t>
  </si>
  <si>
    <t>Calculation of N (Number of anti-dilution shares) for each shareholder</t>
  </si>
  <si>
    <t>Decrease in Share Price in % vs Series C</t>
  </si>
  <si>
    <t>Down Round Target Investment</t>
  </si>
  <si>
    <t>Down Round Actual Investment</t>
  </si>
  <si>
    <t>Number of Down Round Shares</t>
  </si>
  <si>
    <t>New Round - Down Round</t>
  </si>
  <si>
    <t>Valuation 1</t>
  </si>
  <si>
    <t>Valuation 2</t>
  </si>
  <si>
    <t>Valuation 3</t>
  </si>
  <si>
    <t>Valuation 4</t>
  </si>
  <si>
    <t>Simplified Cap Table by Share Class</t>
  </si>
  <si>
    <t>Seed Preferred Shares</t>
  </si>
  <si>
    <t>Series A Preferred Shares</t>
  </si>
  <si>
    <t>Series B Preferred Shares</t>
  </si>
  <si>
    <t xml:space="preserve">Series C Preferred Shares </t>
  </si>
  <si>
    <t>Series C Preferred Shares (Warrants)</t>
  </si>
  <si>
    <t>Series C Preferred Shares (CLA)</t>
  </si>
  <si>
    <t>Ordinary Shares (Options)</t>
  </si>
  <si>
    <t xml:space="preserve">Share Price </t>
  </si>
  <si>
    <t xml:space="preserve">Total Investment </t>
  </si>
  <si>
    <t>No. of Shares</t>
  </si>
  <si>
    <t>-</t>
  </si>
  <si>
    <t>TOTAL</t>
  </si>
  <si>
    <t>Dilution Protection Shares Issued For:</t>
  </si>
  <si>
    <t>Anti-dilution shares for Seed Preferred Shareholders</t>
  </si>
  <si>
    <t>Anti-dilution shares for Series A Preferred Shareholders</t>
  </si>
  <si>
    <t>Anti-dilution shares for Series B Preferred Shareholders</t>
  </si>
  <si>
    <t>Anti-dilution shares for Series C Preferred Shareholders</t>
  </si>
  <si>
    <t>Anti-dilution shares for Series C Preferred Shareholders (Warrants)</t>
  </si>
  <si>
    <t>Anti-dilution shares for Series C Preferred Shareholders (CLA)</t>
  </si>
  <si>
    <t>Price Per Preferred Series A Share</t>
  </si>
  <si>
    <t>If you make changes to any of the values, press "Shift" + F9 to ensure the spreadsheet re-calculates all the figures.</t>
  </si>
  <si>
    <t xml:space="preserve">Formula input </t>
  </si>
  <si>
    <t>Dilution Protection Shares Calculations for Valuation 4  Approximate Calculations per Class of Shares</t>
  </si>
  <si>
    <t>the weighted average equivalent price per Equity Share in respect of the New Securities granted or issued pursuant to the Qualifying Issue (and for which purpose any non-cash consideration shall be valued at a cash equivalent sum agreed by the Board and the Investor Majority and
failing such agreement a sum certified by the Auditors acting as experts and not as arbitrators as being in their opinion the cash equivalent value of such non-cash consideration)</t>
  </si>
  <si>
    <t>Formula details 
(as per the BVCA Model Articles)</t>
  </si>
  <si>
    <t>Ordinary Shares OptionsOptions</t>
  </si>
  <si>
    <t>Dilution Protection Shares Calculations for Valuation 4 - split per Shareholder</t>
  </si>
  <si>
    <t xml:space="preserve">Note: please vary the valuation as required </t>
  </si>
  <si>
    <t>Fully Diluted Share Capital (post Completion)</t>
  </si>
  <si>
    <t>Typically Secondary Shares will be reclassified into the most senior class of shares if the lates share price is paid</t>
  </si>
  <si>
    <t>Reclassified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</si>
</sst>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6" formatCode="&quot;£&quot;#,##0.0000"/>
    <numFmt numFmtId="167" formatCode="&quot;£&quot;#,##0"/>
    <numFmt numFmtId="168" formatCode="dd/mm/yyyy;@"/>
    <numFmt numFmtId="169" formatCode="#,##0.00\ &quot;€&quot;"/>
    <numFmt numFmtId="170" formatCode="_-* #,##0_-;\-* #,##0_-;_-* &quot;-&quot;??_-;_-@_-"/>
    <numFmt numFmtId="171" formatCode="&quot;£&quot;#,##0.00"/>
    <numFmt numFmtId="172" formatCode="_(* #,##0_);_(* \(#,##0\);_(* &quot;-&quot;??_);_(@_)"/>
    <numFmt numFmtId="173" formatCode="0.0000%"/>
    <numFmt numFmtId="174" formatCode="_-[$£-809]* #,##0.00_-;\-[$£-809]* #,##0.00_-;_-[$£-809]* &quot;-&quot;??_-;_-@_-"/>
  </numFmts>
  <fonts count="39">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indexed="8"/>
      <name val="Helvetica Neue"/>
    </font>
    <font>
      <b/>
      <sz val="10"/>
      <name val="Arial"/>
      <family val="2"/>
    </font>
    <font>
      <sz val="10"/>
      <name val="Arial"/>
      <family val="2"/>
    </font>
    <font>
      <sz val="10"/>
      <color theme="1"/>
      <name val="Arial"/>
      <family val="2"/>
    </font>
    <font>
      <i/>
      <sz val="10"/>
      <name val="Arial"/>
      <family val="2"/>
    </font>
    <font>
      <b/>
      <sz val="12"/>
      <color theme="1"/>
      <name val="Times New Roman"/>
      <family val="1"/>
    </font>
    <font>
      <sz val="12"/>
      <color theme="1"/>
      <name val="Times New Roman"/>
      <family val="1"/>
    </font>
    <font>
      <b/>
      <sz val="10"/>
      <color theme="1"/>
      <name val="Arial"/>
      <family val="2"/>
    </font>
    <font>
      <b/>
      <sz val="10"/>
      <color theme="0"/>
      <name val="Arial"/>
      <family val="2"/>
    </font>
    <font>
      <b/>
      <u/>
      <sz val="10"/>
      <color theme="1"/>
      <name val="Arial"/>
      <family val="2"/>
    </font>
    <font>
      <sz val="10"/>
      <color rgb="FFFF0000"/>
      <name val="Arial"/>
      <family val="2"/>
    </font>
    <font>
      <sz val="10"/>
      <color rgb="FF003145"/>
      <name val="Arial"/>
      <family val="2"/>
    </font>
    <font>
      <b/>
      <sz val="10"/>
      <color rgb="FF003145"/>
      <name val="Arial"/>
      <family val="2"/>
    </font>
    <font>
      <b/>
      <sz val="20"/>
      <color theme="0"/>
      <name val="Arial"/>
      <family val="2"/>
    </font>
    <font>
      <b/>
      <i/>
      <sz val="10"/>
      <name val="Arial"/>
      <family val="2"/>
    </font>
    <font>
      <b/>
      <sz val="10"/>
      <color rgb="FFF5F5F5"/>
      <name val="Arial"/>
      <family val="2"/>
    </font>
    <font>
      <b/>
      <sz val="10"/>
      <color rgb="FFFF0000"/>
      <name val="Arial"/>
      <family val="2"/>
    </font>
    <font>
      <b/>
      <i/>
      <u/>
      <sz val="10"/>
      <color theme="3" tint="-0.249977111117893"/>
      <name val="Arial"/>
      <family val="2"/>
    </font>
    <font>
      <b/>
      <i/>
      <u/>
      <sz val="10"/>
      <name val="Arial"/>
      <family val="2"/>
    </font>
    <font>
      <i/>
      <sz val="9"/>
      <color theme="1"/>
      <name val="Arial"/>
      <family val="2"/>
    </font>
    <font>
      <b/>
      <u/>
      <sz val="10"/>
      <name val="Arial"/>
      <family val="2"/>
    </font>
    <font>
      <b/>
      <sz val="10"/>
      <color rgb="FF0000FF"/>
      <name val="Arial"/>
      <family val="2"/>
    </font>
    <font>
      <b/>
      <sz val="10"/>
      <color rgb="FF00B050"/>
      <name val="Arial"/>
      <family val="2"/>
    </font>
    <font>
      <i/>
      <sz val="10"/>
      <color theme="0" tint="-0.499984740745262"/>
      <name val="Arial"/>
      <family val="2"/>
    </font>
    <font>
      <i/>
      <sz val="10"/>
      <color theme="1"/>
      <name val="Arial"/>
      <family val="2"/>
    </font>
    <font>
      <i/>
      <sz val="10"/>
      <color theme="2" tint="-0.499984740745262"/>
      <name val="Arial"/>
      <family val="2"/>
    </font>
    <font>
      <b/>
      <sz val="10"/>
      <color rgb="FFFB5A17"/>
      <name val="Arial"/>
      <family val="2"/>
    </font>
    <font>
      <i/>
      <u/>
      <sz val="10"/>
      <color theme="0" tint="-0.499984740745262"/>
      <name val="Arial"/>
      <family val="2"/>
    </font>
    <font>
      <sz val="11"/>
      <color theme="1"/>
      <name val="Arial"/>
      <family val="2"/>
    </font>
    <font>
      <sz val="10"/>
      <color rgb="FF00B050"/>
      <name val="Arial"/>
      <family val="2"/>
    </font>
  </fonts>
  <fills count="5">
    <fill>
      <patternFill patternType="none"/>
    </fill>
    <fill>
      <patternFill patternType="gray125"/>
    </fill>
    <fill>
      <patternFill patternType="solid">
        <fgColor theme="0"/>
        <bgColor indexed="64"/>
      </patternFill>
    </fill>
    <fill>
      <patternFill patternType="solid">
        <fgColor rgb="FF003145"/>
        <bgColor indexed="64"/>
      </patternFill>
    </fill>
    <fill>
      <patternFill patternType="solid">
        <fgColor rgb="FFFFFF00"/>
        <bgColor indexed="64"/>
      </patternFill>
    </fill>
  </fills>
  <borders count="19">
    <border>
      <left/>
      <right/>
      <top/>
      <bottom/>
      <diagonal/>
    </border>
    <border>
      <left/>
      <right/>
      <top style="thin">
        <color indexed="64"/>
      </top>
      <bottom style="medium">
        <color indexed="64"/>
      </bottom>
      <diagonal/>
    </border>
    <border>
      <left/>
      <right/>
      <top/>
      <bottom style="thin">
        <color theme="0"/>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theme="0" tint="-0.499984740745262"/>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8" fillId="0" borderId="0" applyFont="0" applyFill="0" applyBorder="0" applyAlignment="0" applyProtection="0"/>
    <xf numFmtId="0" fontId="9" fillId="0" borderId="0" applyNumberFormat="0" applyFill="0" applyBorder="0" applyProtection="0">
      <alignment vertical="top"/>
    </xf>
    <xf numFmtId="9" fontId="9" fillId="0" borderId="0" applyFont="0" applyFill="0" applyBorder="0" applyAlignment="0" applyProtection="0"/>
    <xf numFmtId="164" fontId="8" fillId="0" borderId="0" applyFont="0" applyFill="0" applyBorder="0" applyAlignment="0" applyProtection="0"/>
  </cellStyleXfs>
  <cellXfs count="273">
    <xf numFmtId="0" fontId="0" fillId="0" borderId="0" xfId="0"/>
    <xf numFmtId="0" fontId="11" fillId="0" borderId="0" xfId="2" applyFont="1" applyFill="1" applyBorder="1" applyAlignment="1"/>
    <xf numFmtId="0" fontId="11" fillId="0" borderId="0" xfId="2" applyNumberFormat="1" applyFont="1" applyFill="1" applyBorder="1" applyAlignment="1"/>
    <xf numFmtId="0" fontId="12" fillId="0" borderId="0" xfId="0" applyFont="1"/>
    <xf numFmtId="3" fontId="11" fillId="0" borderId="0" xfId="2" applyNumberFormat="1" applyFont="1" applyFill="1" applyAlignment="1">
      <alignment horizontal="right"/>
    </xf>
    <xf numFmtId="10" fontId="11" fillId="0" borderId="0" xfId="1" applyNumberFormat="1" applyFont="1" applyFill="1" applyAlignment="1">
      <alignment horizontal="right"/>
    </xf>
    <xf numFmtId="3" fontId="13" fillId="0" borderId="0" xfId="2" applyNumberFormat="1" applyFont="1" applyFill="1" applyBorder="1" applyAlignment="1">
      <alignment horizontal="center"/>
    </xf>
    <xf numFmtId="0" fontId="10" fillId="0" borderId="1" xfId="2" applyFont="1" applyFill="1" applyBorder="1" applyAlignment="1"/>
    <xf numFmtId="10" fontId="10" fillId="0" borderId="1" xfId="3" applyNumberFormat="1" applyFont="1" applyFill="1" applyBorder="1" applyAlignment="1">
      <alignment horizontal="right"/>
    </xf>
    <xf numFmtId="3" fontId="10" fillId="0" borderId="0" xfId="2" applyNumberFormat="1" applyFont="1" applyFill="1" applyBorder="1" applyAlignment="1">
      <alignment horizontal="center"/>
    </xf>
    <xf numFmtId="0" fontId="14" fillId="0" borderId="0" xfId="0" applyFont="1" applyAlignment="1">
      <alignment horizontal="center" vertical="center"/>
    </xf>
    <xf numFmtId="0" fontId="10" fillId="0" borderId="0" xfId="2" applyFont="1" applyFill="1" applyBorder="1" applyAlignment="1"/>
    <xf numFmtId="0" fontId="15" fillId="0" borderId="0" xfId="0" applyFont="1" applyAlignment="1">
      <alignment vertical="center"/>
    </xf>
    <xf numFmtId="0" fontId="10" fillId="0" borderId="0" xfId="2" applyFont="1" applyFill="1" applyAlignment="1"/>
    <xf numFmtId="0" fontId="16" fillId="0" borderId="0" xfId="0" applyFont="1"/>
    <xf numFmtId="0" fontId="20" fillId="3" borderId="0" xfId="0" applyFont="1" applyFill="1"/>
    <xf numFmtId="0" fontId="21" fillId="3" borderId="0" xfId="0" applyFont="1" applyFill="1"/>
    <xf numFmtId="0" fontId="12" fillId="3" borderId="0" xfId="0" applyFont="1" applyFill="1"/>
    <xf numFmtId="0" fontId="19" fillId="2" borderId="0" xfId="0" applyFont="1" applyFill="1"/>
    <xf numFmtId="3" fontId="12" fillId="0" borderId="0" xfId="0" applyNumberFormat="1" applyFont="1"/>
    <xf numFmtId="0" fontId="17" fillId="3" borderId="0" xfId="0" applyFont="1" applyFill="1" applyAlignment="1">
      <alignment horizontal="center" vertical="center"/>
    </xf>
    <xf numFmtId="0" fontId="23" fillId="0" borderId="0" xfId="0" applyFont="1" applyAlignment="1">
      <alignment vertical="center"/>
    </xf>
    <xf numFmtId="10" fontId="10" fillId="0" borderId="0" xfId="3" applyNumberFormat="1" applyFont="1" applyFill="1" applyBorder="1" applyAlignment="1">
      <alignment horizontal="right"/>
    </xf>
    <xf numFmtId="0" fontId="26" fillId="0" borderId="0" xfId="0" applyFont="1" applyAlignment="1">
      <alignment vertical="center"/>
    </xf>
    <xf numFmtId="0" fontId="27" fillId="0" borderId="0" xfId="0" applyFont="1" applyAlignment="1">
      <alignment vertical="center"/>
    </xf>
    <xf numFmtId="1" fontId="11" fillId="0" borderId="0" xfId="2" applyNumberFormat="1" applyFont="1" applyFill="1" applyAlignment="1">
      <alignment horizontal="right"/>
    </xf>
    <xf numFmtId="1" fontId="12" fillId="0" borderId="0" xfId="0" applyNumberFormat="1" applyFont="1"/>
    <xf numFmtId="1" fontId="11" fillId="0" borderId="0" xfId="1" applyNumberFormat="1" applyFont="1" applyFill="1" applyAlignment="1">
      <alignment horizontal="right"/>
    </xf>
    <xf numFmtId="10" fontId="12" fillId="0" borderId="0" xfId="1" applyNumberFormat="1" applyFont="1" applyFill="1"/>
    <xf numFmtId="4" fontId="12" fillId="0" borderId="0" xfId="0" applyNumberFormat="1" applyFont="1"/>
    <xf numFmtId="0" fontId="17" fillId="0" borderId="0" xfId="0" applyFont="1" applyAlignment="1">
      <alignment horizontal="center" vertical="center"/>
    </xf>
    <xf numFmtId="3" fontId="11" fillId="0" borderId="0" xfId="1" applyNumberFormat="1" applyFont="1" applyFill="1" applyAlignment="1">
      <alignment horizontal="right"/>
    </xf>
    <xf numFmtId="3" fontId="10" fillId="0" borderId="1" xfId="3" applyNumberFormat="1" applyFont="1" applyFill="1" applyBorder="1" applyAlignment="1">
      <alignment horizontal="right"/>
    </xf>
    <xf numFmtId="0" fontId="11" fillId="0" borderId="0" xfId="0" applyFont="1" applyAlignment="1">
      <alignment vertical="center"/>
    </xf>
    <xf numFmtId="0" fontId="23" fillId="0" borderId="0" xfId="0" applyFont="1" applyAlignment="1">
      <alignment horizontal="right" vertical="center" indent="1"/>
    </xf>
    <xf numFmtId="0" fontId="25" fillId="2" borderId="0" xfId="0" applyFont="1" applyFill="1"/>
    <xf numFmtId="0" fontId="24" fillId="3" borderId="0" xfId="0" applyFont="1" applyFill="1" applyAlignment="1">
      <alignment horizontal="center" vertical="center"/>
    </xf>
    <xf numFmtId="3" fontId="16" fillId="0" borderId="0" xfId="0" applyNumberFormat="1" applyFont="1"/>
    <xf numFmtId="4" fontId="16" fillId="0" borderId="0" xfId="0" applyNumberFormat="1" applyFont="1"/>
    <xf numFmtId="0" fontId="17" fillId="0" borderId="0" xfId="0" applyFont="1" applyAlignment="1">
      <alignment vertical="center"/>
    </xf>
    <xf numFmtId="0" fontId="25" fillId="0" borderId="0" xfId="0" applyFont="1"/>
    <xf numFmtId="0" fontId="19" fillId="0" borderId="0" xfId="0" applyFont="1"/>
    <xf numFmtId="0" fontId="11" fillId="0" borderId="0" xfId="0" applyFont="1"/>
    <xf numFmtId="3" fontId="11" fillId="0" borderId="0" xfId="0" applyNumberFormat="1" applyFont="1"/>
    <xf numFmtId="0" fontId="10" fillId="0" borderId="0" xfId="0" applyFont="1"/>
    <xf numFmtId="0" fontId="11" fillId="0" borderId="0" xfId="0" applyFont="1" applyAlignment="1">
      <alignment horizontal="center" vertical="center"/>
    </xf>
    <xf numFmtId="0" fontId="12" fillId="0" borderId="3" xfId="0" applyFont="1" applyBorder="1"/>
    <xf numFmtId="0" fontId="12" fillId="0" borderId="4" xfId="0" applyFont="1" applyBorder="1"/>
    <xf numFmtId="3" fontId="12" fillId="0" borderId="4" xfId="0" applyNumberFormat="1" applyFont="1" applyBorder="1"/>
    <xf numFmtId="0" fontId="12" fillId="0" borderId="5" xfId="0" applyFont="1" applyBorder="1"/>
    <xf numFmtId="14" fontId="12" fillId="0" borderId="0" xfId="0" applyNumberFormat="1" applyFont="1"/>
    <xf numFmtId="9" fontId="12" fillId="0" borderId="0" xfId="1" applyFont="1" applyFill="1" applyAlignment="1"/>
    <xf numFmtId="0" fontId="17" fillId="2" borderId="0" xfId="0" applyFont="1" applyFill="1"/>
    <xf numFmtId="0" fontId="0" fillId="2" borderId="0" xfId="0" applyFill="1"/>
    <xf numFmtId="0" fontId="17" fillId="3" borderId="0" xfId="0" applyFont="1" applyFill="1" applyAlignment="1">
      <alignment horizontal="center" vertical="center" wrapText="1"/>
    </xf>
    <xf numFmtId="3" fontId="0" fillId="0" borderId="0" xfId="0" applyNumberFormat="1" applyAlignment="1">
      <alignment horizontal="right" indent="3"/>
    </xf>
    <xf numFmtId="167" fontId="11" fillId="0" borderId="0" xfId="0" applyNumberFormat="1" applyFont="1" applyAlignment="1">
      <alignment horizontal="right" indent="3"/>
    </xf>
    <xf numFmtId="3" fontId="28" fillId="0" borderId="0" xfId="0" applyNumberFormat="1" applyFont="1" applyAlignment="1">
      <alignment horizontal="left" indent="3"/>
    </xf>
    <xf numFmtId="3" fontId="11" fillId="0" borderId="0" xfId="0" applyNumberFormat="1" applyFont="1" applyAlignment="1">
      <alignment horizontal="right" indent="3"/>
    </xf>
    <xf numFmtId="166" fontId="11" fillId="0" borderId="0" xfId="0" applyNumberFormat="1" applyFont="1" applyAlignment="1">
      <alignment horizontal="right" indent="3"/>
    </xf>
    <xf numFmtId="4" fontId="11" fillId="0" borderId="0" xfId="0" applyNumberFormat="1" applyFont="1" applyAlignment="1">
      <alignment horizontal="right" vertical="center"/>
    </xf>
    <xf numFmtId="3" fontId="11" fillId="0" borderId="0" xfId="0" applyNumberFormat="1" applyFont="1" applyAlignment="1">
      <alignment horizontal="right" vertical="center"/>
    </xf>
    <xf numFmtId="3" fontId="11" fillId="0" borderId="0" xfId="0" applyNumberFormat="1" applyFont="1" applyAlignment="1">
      <alignment horizontal="center" vertical="center"/>
    </xf>
    <xf numFmtId="0" fontId="19" fillId="0" borderId="0" xfId="0" applyFont="1" applyAlignment="1">
      <alignment horizontal="center" vertical="center"/>
    </xf>
    <xf numFmtId="168" fontId="11" fillId="0" borderId="0" xfId="0" applyNumberFormat="1" applyFont="1" applyAlignment="1">
      <alignment horizontal="center" vertical="center"/>
    </xf>
    <xf numFmtId="4" fontId="16" fillId="0" borderId="0" xfId="0" applyNumberFormat="1" applyFont="1" applyAlignment="1">
      <alignment horizontal="right"/>
    </xf>
    <xf numFmtId="0" fontId="12" fillId="0" borderId="0" xfId="0" applyFont="1" applyAlignment="1">
      <alignment horizontal="left" vertical="center" indent="1"/>
    </xf>
    <xf numFmtId="0" fontId="16" fillId="0" borderId="5" xfId="0" applyFont="1" applyBorder="1"/>
    <xf numFmtId="4" fontId="12" fillId="0" borderId="5" xfId="0" applyNumberFormat="1" applyFont="1" applyBorder="1"/>
    <xf numFmtId="3" fontId="18" fillId="0" borderId="0" xfId="0" applyNumberFormat="1" applyFont="1"/>
    <xf numFmtId="0" fontId="7" fillId="0" borderId="3" xfId="0" applyFont="1" applyBorder="1"/>
    <xf numFmtId="9" fontId="11" fillId="0" borderId="4" xfId="1" applyFont="1" applyFill="1" applyBorder="1"/>
    <xf numFmtId="0" fontId="10" fillId="0" borderId="1" xfId="0" applyFont="1" applyBorder="1"/>
    <xf numFmtId="3" fontId="10" fillId="0" borderId="1" xfId="0" applyNumberFormat="1" applyFont="1" applyBorder="1"/>
    <xf numFmtId="10" fontId="32" fillId="0" borderId="0" xfId="0" applyNumberFormat="1" applyFont="1"/>
    <xf numFmtId="0" fontId="6" fillId="0" borderId="3" xfId="0" applyFont="1" applyBorder="1"/>
    <xf numFmtId="0" fontId="6" fillId="0" borderId="0" xfId="0" applyFont="1"/>
    <xf numFmtId="169" fontId="10" fillId="0" borderId="1" xfId="0" applyNumberFormat="1" applyFont="1" applyBorder="1"/>
    <xf numFmtId="0" fontId="17" fillId="3" borderId="6" xfId="0" applyFont="1" applyFill="1" applyBorder="1" applyAlignment="1">
      <alignment vertical="center"/>
    </xf>
    <xf numFmtId="0" fontId="12" fillId="0" borderId="1" xfId="0" applyFont="1" applyBorder="1"/>
    <xf numFmtId="0" fontId="17" fillId="3" borderId="7" xfId="0" applyFont="1" applyFill="1" applyBorder="1" applyAlignment="1">
      <alignment vertical="center"/>
    </xf>
    <xf numFmtId="0" fontId="17" fillId="3" borderId="8" xfId="0" applyFont="1" applyFill="1" applyBorder="1" applyAlignment="1">
      <alignment vertical="center"/>
    </xf>
    <xf numFmtId="0" fontId="16" fillId="0" borderId="9" xfId="0" applyFont="1" applyBorder="1"/>
    <xf numFmtId="4" fontId="10" fillId="0" borderId="1" xfId="0" applyNumberFormat="1" applyFont="1" applyBorder="1"/>
    <xf numFmtId="3" fontId="10" fillId="0" borderId="1" xfId="0" applyNumberFormat="1" applyFont="1" applyBorder="1" applyAlignment="1">
      <alignment horizontal="center" vertical="center"/>
    </xf>
    <xf numFmtId="3" fontId="10" fillId="0" borderId="1" xfId="0" applyNumberFormat="1" applyFont="1" applyBorder="1" applyAlignment="1">
      <alignment horizontal="right" vertical="center"/>
    </xf>
    <xf numFmtId="0" fontId="5" fillId="0" borderId="0" xfId="0" applyFont="1"/>
    <xf numFmtId="0" fontId="33" fillId="0" borderId="0" xfId="0" applyFont="1"/>
    <xf numFmtId="3" fontId="5" fillId="0" borderId="0" xfId="0" applyNumberFormat="1" applyFont="1"/>
    <xf numFmtId="0" fontId="27" fillId="0" borderId="0" xfId="2" applyFont="1" applyFill="1" applyBorder="1" applyAlignment="1"/>
    <xf numFmtId="3" fontId="10" fillId="0" borderId="0" xfId="2" applyNumberFormat="1" applyFont="1" applyFill="1" applyBorder="1" applyAlignment="1"/>
    <xf numFmtId="0" fontId="32" fillId="0" borderId="0" xfId="0" applyFont="1"/>
    <xf numFmtId="0" fontId="34" fillId="0" borderId="0" xfId="0" applyFont="1"/>
    <xf numFmtId="0" fontId="34" fillId="0" borderId="0" xfId="0" applyFont="1" applyAlignment="1">
      <alignment vertical="center"/>
    </xf>
    <xf numFmtId="0" fontId="35" fillId="0" borderId="0" xfId="0" applyFont="1" applyAlignment="1">
      <alignment vertical="center"/>
    </xf>
    <xf numFmtId="0" fontId="5" fillId="0" borderId="0" xfId="0" applyFont="1" applyAlignment="1">
      <alignment vertical="center"/>
    </xf>
    <xf numFmtId="3" fontId="16" fillId="0" borderId="0" xfId="0" applyNumberFormat="1" applyFont="1" applyAlignment="1">
      <alignment horizontal="right"/>
    </xf>
    <xf numFmtId="9" fontId="12" fillId="0" borderId="0" xfId="1" applyFont="1"/>
    <xf numFmtId="0" fontId="5" fillId="0" borderId="0" xfId="0" applyFont="1" applyAlignment="1">
      <alignment horizontal="center" vertical="center"/>
    </xf>
    <xf numFmtId="4" fontId="5" fillId="0" borderId="0" xfId="0" applyNumberFormat="1" applyFont="1" applyAlignment="1">
      <alignment horizontal="center" vertical="center"/>
    </xf>
    <xf numFmtId="170" fontId="12" fillId="0" borderId="0" xfId="4" applyNumberFormat="1" applyFont="1"/>
    <xf numFmtId="0" fontId="0" fillId="0" borderId="0" xfId="0" applyAlignment="1">
      <alignment horizontal="right"/>
    </xf>
    <xf numFmtId="0" fontId="0" fillId="0" borderId="0" xfId="0" applyAlignment="1">
      <alignment horizontal="left"/>
    </xf>
    <xf numFmtId="0" fontId="0" fillId="0" borderId="0" xfId="0" applyAlignment="1">
      <alignment horizontal="center"/>
    </xf>
    <xf numFmtId="10" fontId="36" fillId="0" borderId="0" xfId="0" applyNumberFormat="1" applyFont="1"/>
    <xf numFmtId="14" fontId="5" fillId="0" borderId="0" xfId="0" applyNumberFormat="1" applyFont="1" applyAlignment="1">
      <alignment horizontal="center" vertical="center"/>
    </xf>
    <xf numFmtId="0" fontId="5" fillId="0" borderId="3" xfId="0" applyFont="1" applyBorder="1"/>
    <xf numFmtId="0" fontId="34" fillId="0" borderId="0" xfId="0" applyFont="1" applyAlignment="1">
      <alignment horizontal="left" vertical="center" wrapText="1"/>
    </xf>
    <xf numFmtId="0" fontId="4" fillId="0" borderId="0" xfId="0" applyFont="1"/>
    <xf numFmtId="0" fontId="32" fillId="0" borderId="0" xfId="0" applyFont="1" applyAlignment="1">
      <alignment horizontal="left" vertical="center" wrapText="1"/>
    </xf>
    <xf numFmtId="0" fontId="32" fillId="0" borderId="0" xfId="0" applyFont="1" applyAlignment="1">
      <alignment vertical="center" wrapText="1"/>
    </xf>
    <xf numFmtId="171" fontId="12" fillId="0" borderId="0" xfId="0" applyNumberFormat="1" applyFont="1"/>
    <xf numFmtId="171" fontId="29" fillId="0" borderId="0" xfId="2" applyNumberFormat="1" applyFont="1" applyFill="1" applyAlignment="1"/>
    <xf numFmtId="171" fontId="16" fillId="0" borderId="0" xfId="0" applyNumberFormat="1" applyFont="1"/>
    <xf numFmtId="171" fontId="10" fillId="0" borderId="0" xfId="2" applyNumberFormat="1" applyFont="1" applyFill="1" applyAlignment="1"/>
    <xf numFmtId="171" fontId="10" fillId="0" borderId="1" xfId="0" applyNumberFormat="1" applyFont="1" applyBorder="1"/>
    <xf numFmtId="171" fontId="10" fillId="0" borderId="0" xfId="0" applyNumberFormat="1" applyFont="1"/>
    <xf numFmtId="171" fontId="12" fillId="0" borderId="0" xfId="1" applyNumberFormat="1" applyFont="1" applyFill="1" applyAlignment="1"/>
    <xf numFmtId="171" fontId="11" fillId="0" borderId="0" xfId="0" applyNumberFormat="1" applyFont="1" applyAlignment="1">
      <alignment horizontal="right" vertical="center"/>
    </xf>
    <xf numFmtId="171" fontId="11" fillId="0" borderId="0" xfId="0" applyNumberFormat="1" applyFont="1" applyAlignment="1">
      <alignment horizontal="center" vertical="center"/>
    </xf>
    <xf numFmtId="171" fontId="16" fillId="0" borderId="0" xfId="0" applyNumberFormat="1" applyFont="1" applyAlignment="1">
      <alignment horizontal="right"/>
    </xf>
    <xf numFmtId="171" fontId="10" fillId="0" borderId="1" xfId="0" applyNumberFormat="1" applyFont="1" applyBorder="1" applyAlignment="1">
      <alignment horizontal="right" vertical="center"/>
    </xf>
    <xf numFmtId="171" fontId="11" fillId="0" borderId="0" xfId="0" applyNumberFormat="1" applyFont="1"/>
    <xf numFmtId="0" fontId="11" fillId="0" borderId="0" xfId="0" applyFont="1" applyAlignment="1">
      <alignment horizontal="right"/>
    </xf>
    <xf numFmtId="0" fontId="24" fillId="3" borderId="0" xfId="0" applyFont="1" applyFill="1" applyAlignment="1">
      <alignment horizontal="center" vertical="center" wrapText="1"/>
    </xf>
    <xf numFmtId="0" fontId="11" fillId="0" borderId="0" xfId="2" applyFont="1" applyFill="1" applyAlignment="1"/>
    <xf numFmtId="0" fontId="7" fillId="0" borderId="0" xfId="0" applyFont="1"/>
    <xf numFmtId="170" fontId="29" fillId="0" borderId="0" xfId="4" applyNumberFormat="1" applyFont="1" applyFill="1" applyAlignment="1"/>
    <xf numFmtId="0" fontId="19" fillId="0" borderId="0" xfId="2" applyFont="1" applyFill="1" applyBorder="1" applyAlignment="1"/>
    <xf numFmtId="3" fontId="11" fillId="0" borderId="4" xfId="0" applyNumberFormat="1" applyFont="1" applyBorder="1"/>
    <xf numFmtId="3" fontId="10" fillId="0" borderId="10" xfId="0" applyNumberFormat="1" applyFont="1" applyBorder="1"/>
    <xf numFmtId="170" fontId="10" fillId="0" borderId="1" xfId="4" applyNumberFormat="1" applyFont="1" applyFill="1" applyBorder="1"/>
    <xf numFmtId="9" fontId="4" fillId="0" borderId="0" xfId="0" applyNumberFormat="1" applyFont="1"/>
    <xf numFmtId="0" fontId="4" fillId="0" borderId="0" xfId="0" applyFont="1" applyAlignment="1">
      <alignment horizontal="center" vertical="center"/>
    </xf>
    <xf numFmtId="4" fontId="4" fillId="0" borderId="0" xfId="0" applyNumberFormat="1" applyFont="1" applyAlignment="1">
      <alignment horizontal="center" vertical="center"/>
    </xf>
    <xf numFmtId="0" fontId="10" fillId="0" borderId="5" xfId="0" applyFont="1" applyBorder="1"/>
    <xf numFmtId="0" fontId="11" fillId="0" borderId="5" xfId="0" applyFont="1" applyBorder="1"/>
    <xf numFmtId="4" fontId="11" fillId="0" borderId="5" xfId="0" applyNumberFormat="1" applyFont="1" applyBorder="1"/>
    <xf numFmtId="170" fontId="10" fillId="0" borderId="1" xfId="4" applyNumberFormat="1" applyFont="1" applyBorder="1"/>
    <xf numFmtId="171" fontId="11" fillId="0" borderId="5" xfId="0" applyNumberFormat="1" applyFont="1" applyBorder="1"/>
    <xf numFmtId="10" fontId="11" fillId="0" borderId="0" xfId="1" applyNumberFormat="1" applyFont="1" applyFill="1"/>
    <xf numFmtId="0" fontId="4" fillId="0" borderId="0" xfId="0" applyFont="1" applyAlignment="1">
      <alignment horizontal="left"/>
    </xf>
    <xf numFmtId="172" fontId="16" fillId="0" borderId="0" xfId="4" applyNumberFormat="1" applyFont="1"/>
    <xf numFmtId="0" fontId="4" fillId="3" borderId="0" xfId="0" applyFont="1" applyFill="1"/>
    <xf numFmtId="171" fontId="4" fillId="0" borderId="0" xfId="0" applyNumberFormat="1" applyFont="1"/>
    <xf numFmtId="0" fontId="37" fillId="0" borderId="0" xfId="0" applyFont="1"/>
    <xf numFmtId="172" fontId="4" fillId="0" borderId="0" xfId="4" applyNumberFormat="1" applyFont="1"/>
    <xf numFmtId="172" fontId="4" fillId="0" borderId="0" xfId="4" applyNumberFormat="1" applyFont="1" applyAlignment="1">
      <alignment horizontal="right"/>
    </xf>
    <xf numFmtId="3" fontId="4" fillId="0" borderId="0" xfId="0" applyNumberFormat="1" applyFont="1"/>
    <xf numFmtId="4" fontId="4" fillId="0" borderId="0" xfId="0" applyNumberFormat="1" applyFont="1"/>
    <xf numFmtId="170" fontId="4" fillId="0" borderId="0" xfId="4" applyNumberFormat="1" applyFont="1"/>
    <xf numFmtId="170" fontId="4" fillId="0" borderId="0" xfId="0" applyNumberFormat="1" applyFont="1"/>
    <xf numFmtId="0" fontId="16" fillId="0" borderId="0" xfId="0" applyFont="1" applyAlignment="1">
      <alignment horizontal="center"/>
    </xf>
    <xf numFmtId="0" fontId="4" fillId="0" borderId="0" xfId="0" applyFont="1" applyAlignment="1">
      <alignment horizontal="center"/>
    </xf>
    <xf numFmtId="0" fontId="34" fillId="0" borderId="0" xfId="0" applyFont="1" applyAlignment="1">
      <alignment wrapText="1"/>
    </xf>
    <xf numFmtId="172" fontId="11" fillId="0" borderId="0" xfId="4" applyNumberFormat="1" applyFont="1" applyBorder="1" applyAlignment="1">
      <alignment vertical="top" wrapText="1"/>
    </xf>
    <xf numFmtId="0" fontId="4" fillId="4" borderId="0" xfId="0" applyFont="1" applyFill="1" applyAlignment="1">
      <alignment wrapText="1"/>
    </xf>
    <xf numFmtId="0" fontId="4" fillId="0" borderId="12" xfId="0" applyFont="1" applyBorder="1"/>
    <xf numFmtId="172" fontId="4" fillId="0" borderId="12" xfId="4" applyNumberFormat="1" applyFont="1" applyBorder="1"/>
    <xf numFmtId="0" fontId="4" fillId="0" borderId="3" xfId="0" applyFont="1" applyBorder="1" applyAlignment="1">
      <alignment horizontal="left"/>
    </xf>
    <xf numFmtId="172" fontId="4" fillId="0" borderId="0" xfId="4" applyNumberFormat="1" applyFont="1" applyBorder="1"/>
    <xf numFmtId="171" fontId="4" fillId="0" borderId="0" xfId="4" applyNumberFormat="1" applyFont="1" applyBorder="1"/>
    <xf numFmtId="171" fontId="4" fillId="0" borderId="0" xfId="4" applyNumberFormat="1" applyFont="1" applyFill="1" applyBorder="1" applyAlignment="1">
      <alignment horizontal="right"/>
    </xf>
    <xf numFmtId="172" fontId="4" fillId="0" borderId="0" xfId="4" applyNumberFormat="1" applyFont="1" applyFill="1" applyBorder="1"/>
    <xf numFmtId="174" fontId="4" fillId="0" borderId="4" xfId="4" applyNumberFormat="1" applyFont="1" applyFill="1" applyBorder="1"/>
    <xf numFmtId="174" fontId="4" fillId="0" borderId="4" xfId="0" applyNumberFormat="1" applyFont="1" applyBorder="1"/>
    <xf numFmtId="0" fontId="4" fillId="0" borderId="11" xfId="0" applyFont="1" applyBorder="1" applyAlignment="1">
      <alignment horizontal="left"/>
    </xf>
    <xf numFmtId="0" fontId="16" fillId="0" borderId="12" xfId="0" applyFont="1" applyBorder="1" applyAlignment="1">
      <alignment horizontal="right"/>
    </xf>
    <xf numFmtId="0" fontId="16" fillId="0" borderId="13" xfId="0" applyFont="1" applyBorder="1" applyAlignment="1">
      <alignment horizontal="right"/>
    </xf>
    <xf numFmtId="171" fontId="4" fillId="0" borderId="4" xfId="0" applyNumberFormat="1" applyFont="1" applyBorder="1"/>
    <xf numFmtId="172" fontId="4" fillId="0" borderId="0" xfId="4" applyNumberFormat="1" applyFont="1" applyFill="1"/>
    <xf numFmtId="172" fontId="4" fillId="0" borderId="0" xfId="4" applyNumberFormat="1" applyFont="1" applyFill="1" applyAlignment="1">
      <alignment horizontal="right"/>
    </xf>
    <xf numFmtId="0" fontId="25" fillId="0" borderId="0" xfId="0" applyFont="1" applyAlignment="1">
      <alignment vertical="top"/>
    </xf>
    <xf numFmtId="0" fontId="13" fillId="0" borderId="0" xfId="0" applyFont="1" applyAlignment="1">
      <alignment vertical="top" wrapText="1"/>
    </xf>
    <xf numFmtId="0" fontId="10" fillId="0" borderId="0" xfId="0" applyFont="1" applyAlignment="1">
      <alignment horizontal="right" vertical="center"/>
    </xf>
    <xf numFmtId="0" fontId="19" fillId="0" borderId="0" xfId="0" applyFont="1" applyAlignment="1">
      <alignment wrapText="1"/>
    </xf>
    <xf numFmtId="0" fontId="38" fillId="0" borderId="0" xfId="0" applyFont="1"/>
    <xf numFmtId="172" fontId="11" fillId="0" borderId="0" xfId="4" applyNumberFormat="1" applyFont="1" applyBorder="1" applyAlignment="1">
      <alignment horizontal="right" vertical="top" wrapText="1"/>
    </xf>
    <xf numFmtId="172" fontId="11" fillId="0" borderId="0" xfId="4" applyNumberFormat="1" applyFont="1" applyFill="1" applyBorder="1" applyAlignment="1">
      <alignment horizontal="right" vertical="top" wrapText="1"/>
    </xf>
    <xf numFmtId="0" fontId="4" fillId="0" borderId="3" xfId="0" applyFont="1" applyBorder="1"/>
    <xf numFmtId="0" fontId="17" fillId="3" borderId="3" xfId="0" applyFont="1" applyFill="1" applyBorder="1" applyAlignment="1">
      <alignment horizontal="center" vertical="center" wrapText="1"/>
    </xf>
    <xf numFmtId="0" fontId="19" fillId="0" borderId="0" xfId="0" applyFont="1" applyAlignment="1">
      <alignment horizontal="center"/>
    </xf>
    <xf numFmtId="0" fontId="11" fillId="0" borderId="3" xfId="0" applyFont="1" applyBorder="1" applyAlignment="1">
      <alignment horizontal="left" vertical="top"/>
    </xf>
    <xf numFmtId="170" fontId="10" fillId="0" borderId="0" xfId="0" applyNumberFormat="1" applyFont="1" applyAlignment="1">
      <alignment horizontal="right" vertical="top" wrapText="1"/>
    </xf>
    <xf numFmtId="0" fontId="16" fillId="0" borderId="0" xfId="0" applyFont="1" applyAlignment="1">
      <alignment horizontal="right"/>
    </xf>
    <xf numFmtId="170" fontId="10" fillId="0" borderId="4" xfId="0" applyNumberFormat="1" applyFont="1" applyBorder="1" applyAlignment="1">
      <alignment horizontal="right" vertical="top" wrapText="1"/>
    </xf>
    <xf numFmtId="171" fontId="11" fillId="0" borderId="0" xfId="0" applyNumberFormat="1" applyFont="1" applyAlignment="1">
      <alignment horizontal="right" vertical="top" wrapText="1"/>
    </xf>
    <xf numFmtId="171" fontId="11" fillId="0" borderId="0" xfId="0" applyNumberFormat="1" applyFont="1" applyAlignment="1">
      <alignment vertical="top" wrapText="1"/>
    </xf>
    <xf numFmtId="0" fontId="4" fillId="0" borderId="0" xfId="0" applyFont="1" applyAlignment="1">
      <alignment horizontal="right"/>
    </xf>
    <xf numFmtId="171" fontId="11" fillId="0" borderId="4" xfId="0" applyNumberFormat="1" applyFont="1" applyBorder="1" applyAlignment="1">
      <alignment horizontal="right" vertical="top" wrapText="1"/>
    </xf>
    <xf numFmtId="0" fontId="25" fillId="0" borderId="0" xfId="0" applyFont="1" applyAlignment="1">
      <alignment horizontal="right"/>
    </xf>
    <xf numFmtId="172" fontId="11" fillId="0" borderId="4" xfId="4" applyNumberFormat="1" applyFont="1" applyFill="1" applyBorder="1" applyAlignment="1">
      <alignment horizontal="right" vertical="top" wrapText="1"/>
    </xf>
    <xf numFmtId="171" fontId="4" fillId="0" borderId="0" xfId="0" applyNumberFormat="1" applyFont="1" applyAlignment="1">
      <alignment horizontal="right"/>
    </xf>
    <xf numFmtId="171" fontId="4" fillId="0" borderId="4" xfId="0" applyNumberFormat="1" applyFont="1" applyBorder="1" applyAlignment="1">
      <alignment horizontal="right"/>
    </xf>
    <xf numFmtId="172" fontId="11" fillId="0" borderId="0" xfId="0" applyNumberFormat="1" applyFont="1" applyAlignment="1">
      <alignment horizontal="right" vertical="top" wrapText="1"/>
    </xf>
    <xf numFmtId="0" fontId="11" fillId="0" borderId="14" xfId="0" applyFont="1" applyBorder="1" applyAlignment="1">
      <alignment horizontal="left" vertical="top"/>
    </xf>
    <xf numFmtId="170" fontId="11" fillId="0" borderId="5" xfId="0" applyNumberFormat="1" applyFont="1" applyBorder="1" applyAlignment="1">
      <alignment horizontal="right" vertical="top" wrapText="1"/>
    </xf>
    <xf numFmtId="172" fontId="11" fillId="0" borderId="5" xfId="4" applyNumberFormat="1" applyFont="1" applyFill="1" applyBorder="1" applyAlignment="1">
      <alignment horizontal="right" vertical="top" wrapText="1"/>
    </xf>
    <xf numFmtId="172" fontId="11" fillId="0" borderId="15" xfId="4" applyNumberFormat="1" applyFont="1" applyFill="1" applyBorder="1" applyAlignment="1">
      <alignment horizontal="right" vertical="top" wrapText="1"/>
    </xf>
    <xf numFmtId="0" fontId="16" fillId="0" borderId="11" xfId="0" applyFont="1" applyBorder="1"/>
    <xf numFmtId="0" fontId="2" fillId="0" borderId="3" xfId="0" applyFont="1" applyBorder="1"/>
    <xf numFmtId="172" fontId="2" fillId="0" borderId="0" xfId="4" applyNumberFormat="1" applyFont="1" applyBorder="1" applyAlignment="1">
      <alignment horizontal="center" vertical="center"/>
    </xf>
    <xf numFmtId="0" fontId="16" fillId="0" borderId="9" xfId="0" applyFont="1" applyBorder="1" applyAlignment="1">
      <alignment horizontal="left"/>
    </xf>
    <xf numFmtId="0" fontId="4" fillId="0" borderId="1" xfId="0" applyFont="1" applyBorder="1"/>
    <xf numFmtId="172" fontId="16" fillId="0" borderId="1" xfId="4" applyNumberFormat="1" applyFont="1" applyBorder="1"/>
    <xf numFmtId="171" fontId="16" fillId="0" borderId="10" xfId="0" applyNumberFormat="1" applyFont="1" applyBorder="1"/>
    <xf numFmtId="0" fontId="17" fillId="3" borderId="4" xfId="0" applyFont="1" applyFill="1" applyBorder="1" applyAlignment="1">
      <alignment horizontal="center" vertical="center"/>
    </xf>
    <xf numFmtId="0" fontId="16" fillId="0" borderId="4" xfId="0" applyFont="1" applyBorder="1"/>
    <xf numFmtId="172" fontId="4" fillId="0" borderId="4" xfId="4" applyNumberFormat="1" applyFont="1" applyFill="1" applyBorder="1"/>
    <xf numFmtId="0" fontId="16" fillId="0" borderId="3" xfId="0" applyFont="1" applyBorder="1" applyAlignment="1">
      <alignment horizontal="left"/>
    </xf>
    <xf numFmtId="172" fontId="4" fillId="0" borderId="0" xfId="4" applyNumberFormat="1" applyFont="1" applyFill="1" applyBorder="1" applyAlignment="1">
      <alignment horizontal="right"/>
    </xf>
    <xf numFmtId="172" fontId="4" fillId="0" borderId="4" xfId="4" applyNumberFormat="1" applyFont="1" applyFill="1" applyBorder="1" applyAlignment="1">
      <alignment horizontal="right"/>
    </xf>
    <xf numFmtId="172" fontId="4" fillId="0" borderId="0" xfId="4" applyNumberFormat="1" applyFont="1" applyBorder="1" applyAlignment="1">
      <alignment horizontal="right"/>
    </xf>
    <xf numFmtId="172" fontId="4" fillId="0" borderId="4" xfId="4" applyNumberFormat="1" applyFont="1" applyBorder="1" applyAlignment="1">
      <alignment horizontal="right"/>
    </xf>
    <xf numFmtId="0" fontId="4" fillId="0" borderId="14" xfId="0" applyFont="1" applyBorder="1" applyAlignment="1">
      <alignment horizontal="left"/>
    </xf>
    <xf numFmtId="172" fontId="4" fillId="0" borderId="5" xfId="4" applyNumberFormat="1" applyFont="1" applyBorder="1" applyAlignment="1">
      <alignment horizontal="right"/>
    </xf>
    <xf numFmtId="172" fontId="4" fillId="0" borderId="15" xfId="4" applyNumberFormat="1" applyFont="1" applyBorder="1" applyAlignment="1">
      <alignment horizontal="right"/>
    </xf>
    <xf numFmtId="0" fontId="11" fillId="0" borderId="0" xfId="0" applyFont="1" applyAlignment="1">
      <alignment horizontal="left" vertical="center" wrapText="1"/>
    </xf>
    <xf numFmtId="0" fontId="0" fillId="0" borderId="4" xfId="0" applyBorder="1"/>
    <xf numFmtId="0" fontId="10" fillId="0" borderId="16" xfId="2" applyFont="1" applyFill="1" applyBorder="1" applyAlignment="1"/>
    <xf numFmtId="170" fontId="23" fillId="0" borderId="0" xfId="0" applyNumberFormat="1" applyFont="1" applyAlignment="1">
      <alignment vertical="top" wrapText="1"/>
    </xf>
    <xf numFmtId="172" fontId="10" fillId="0" borderId="0" xfId="4" applyNumberFormat="1" applyFont="1" applyFill="1" applyBorder="1" applyAlignment="1"/>
    <xf numFmtId="170" fontId="10" fillId="0" borderId="0" xfId="4" applyNumberFormat="1" applyFont="1" applyBorder="1"/>
    <xf numFmtId="0" fontId="11" fillId="0" borderId="0" xfId="0" applyFont="1" applyAlignment="1">
      <alignment horizontal="left" vertical="top"/>
    </xf>
    <xf numFmtId="170" fontId="11" fillId="0" borderId="0" xfId="0" applyNumberFormat="1" applyFont="1" applyAlignment="1">
      <alignment horizontal="right" vertical="top" wrapText="1"/>
    </xf>
    <xf numFmtId="172" fontId="2" fillId="0" borderId="0" xfId="4" applyNumberFormat="1" applyFont="1" applyBorder="1" applyAlignment="1">
      <alignment horizontal="right"/>
    </xf>
    <xf numFmtId="172" fontId="2" fillId="0" borderId="0" xfId="4" applyNumberFormat="1" applyFont="1" applyBorder="1" applyAlignment="1">
      <alignment horizontal="right" vertical="center"/>
    </xf>
    <xf numFmtId="172" fontId="2" fillId="0" borderId="4" xfId="4" applyNumberFormat="1" applyFont="1" applyBorder="1" applyAlignment="1">
      <alignment horizontal="right" vertical="center"/>
    </xf>
    <xf numFmtId="172" fontId="10" fillId="0" borderId="17" xfId="4" applyNumberFormat="1" applyFont="1" applyFill="1" applyBorder="1" applyAlignment="1">
      <alignment horizontal="right"/>
    </xf>
    <xf numFmtId="172" fontId="10" fillId="0" borderId="18" xfId="4" applyNumberFormat="1" applyFont="1" applyFill="1" applyBorder="1" applyAlignment="1">
      <alignment horizontal="right"/>
    </xf>
    <xf numFmtId="172" fontId="11" fillId="0" borderId="0" xfId="4" applyNumberFormat="1" applyFont="1" applyFill="1" applyBorder="1" applyAlignment="1">
      <alignment horizontal="right"/>
    </xf>
    <xf numFmtId="172" fontId="11" fillId="0" borderId="4" xfId="4" applyNumberFormat="1" applyFont="1" applyFill="1" applyBorder="1" applyAlignment="1">
      <alignment horizontal="right"/>
    </xf>
    <xf numFmtId="0" fontId="17" fillId="3" borderId="12" xfId="0" applyFont="1" applyFill="1" applyBorder="1" applyAlignment="1">
      <alignment horizontal="center" vertical="center" wrapText="1"/>
    </xf>
    <xf numFmtId="0" fontId="4" fillId="3" borderId="3" xfId="0" applyFont="1" applyFill="1" applyBorder="1" applyAlignment="1">
      <alignment horizontal="center"/>
    </xf>
    <xf numFmtId="0" fontId="17" fillId="3" borderId="0" xfId="0" applyFont="1" applyFill="1" applyAlignment="1">
      <alignment vertical="center" wrapText="1"/>
    </xf>
    <xf numFmtId="0" fontId="4" fillId="3" borderId="0" xfId="0" applyFont="1" applyFill="1" applyAlignment="1">
      <alignment horizontal="center"/>
    </xf>
    <xf numFmtId="0" fontId="17" fillId="3" borderId="0" xfId="0" applyFont="1" applyFill="1" applyAlignment="1">
      <alignment horizontal="center"/>
    </xf>
    <xf numFmtId="0" fontId="16" fillId="0" borderId="3" xfId="0" applyFont="1" applyBorder="1"/>
    <xf numFmtId="0" fontId="4" fillId="0" borderId="4" xfId="0" applyFont="1" applyBorder="1"/>
    <xf numFmtId="170" fontId="4" fillId="0" borderId="0" xfId="4" applyNumberFormat="1" applyFont="1" applyBorder="1"/>
    <xf numFmtId="170" fontId="3" fillId="0" borderId="0" xfId="4" applyNumberFormat="1" applyFont="1" applyFill="1" applyBorder="1"/>
    <xf numFmtId="170" fontId="4" fillId="0" borderId="0" xfId="4" applyNumberFormat="1" applyFont="1" applyFill="1" applyBorder="1"/>
    <xf numFmtId="10" fontId="4" fillId="0" borderId="0" xfId="1" applyNumberFormat="1" applyFont="1" applyFill="1" applyBorder="1"/>
    <xf numFmtId="10" fontId="4" fillId="0" borderId="4" xfId="1" applyNumberFormat="1" applyFont="1" applyFill="1" applyBorder="1"/>
    <xf numFmtId="172" fontId="4" fillId="0" borderId="0" xfId="0" applyNumberFormat="1" applyFont="1"/>
    <xf numFmtId="173" fontId="4" fillId="0" borderId="0" xfId="1" applyNumberFormat="1" applyFont="1" applyFill="1" applyBorder="1"/>
    <xf numFmtId="173" fontId="4" fillId="0" borderId="4" xfId="1" applyNumberFormat="1" applyFont="1" applyFill="1" applyBorder="1"/>
    <xf numFmtId="164" fontId="10" fillId="0" borderId="16" xfId="4" applyFont="1" applyBorder="1"/>
    <xf numFmtId="170" fontId="10" fillId="0" borderId="17" xfId="4" applyNumberFormat="1" applyFont="1" applyBorder="1"/>
    <xf numFmtId="170" fontId="10" fillId="0" borderId="17" xfId="4" applyNumberFormat="1" applyFont="1" applyFill="1" applyBorder="1"/>
    <xf numFmtId="9" fontId="10" fillId="0" borderId="17" xfId="1" applyFont="1" applyFill="1" applyBorder="1"/>
    <xf numFmtId="9" fontId="10" fillId="0" borderId="18" xfId="1" applyFont="1" applyFill="1" applyBorder="1"/>
    <xf numFmtId="0" fontId="13" fillId="0" borderId="0" xfId="0" applyFont="1"/>
    <xf numFmtId="0" fontId="22" fillId="3" borderId="0" xfId="0" applyFont="1" applyFill="1" applyAlignment="1">
      <alignment horizontal="center" vertical="center"/>
    </xf>
    <xf numFmtId="0" fontId="17" fillId="3" borderId="0" xfId="0" applyFont="1" applyFill="1" applyAlignment="1">
      <alignment horizontal="center" vertical="center"/>
    </xf>
    <xf numFmtId="0" fontId="17" fillId="3" borderId="2" xfId="0" applyFont="1" applyFill="1" applyBorder="1" applyAlignment="1">
      <alignment horizontal="center" vertical="center"/>
    </xf>
    <xf numFmtId="0" fontId="24" fillId="3" borderId="0" xfId="0" applyFont="1" applyFill="1" applyAlignment="1">
      <alignment horizontal="center" vertical="center"/>
    </xf>
    <xf numFmtId="0" fontId="17" fillId="3" borderId="0" xfId="0" applyFont="1" applyFill="1" applyAlignment="1">
      <alignment vertical="center"/>
    </xf>
    <xf numFmtId="0" fontId="24" fillId="3" borderId="0" xfId="0" applyFont="1" applyFill="1" applyAlignment="1">
      <alignment horizontal="center" vertical="center" wrapText="1"/>
    </xf>
    <xf numFmtId="0" fontId="17" fillId="3" borderId="0" xfId="0" applyFont="1" applyFill="1" applyAlignment="1">
      <alignment horizontal="center" vertical="center" wrapText="1"/>
    </xf>
    <xf numFmtId="0" fontId="17" fillId="3" borderId="12" xfId="0" applyFont="1" applyFill="1" applyBorder="1" applyAlignment="1">
      <alignment horizontal="center" vertical="center" wrapText="1"/>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11" fillId="0" borderId="0" xfId="0" applyFont="1" applyAlignment="1">
      <alignment horizontal="left" vertical="center" wrapText="1"/>
    </xf>
    <xf numFmtId="0" fontId="4" fillId="0" borderId="0" xfId="0" applyFont="1" applyAlignment="1">
      <alignment horizontal="center" vertical="top"/>
    </xf>
    <xf numFmtId="0" fontId="11" fillId="0" borderId="0" xfId="0" applyFont="1" applyAlignment="1">
      <alignment horizontal="left" vertical="top" wrapText="1"/>
    </xf>
    <xf numFmtId="0" fontId="11" fillId="0" borderId="5" xfId="0" applyFont="1" applyBorder="1" applyAlignment="1">
      <alignment horizontal="left" vertical="center" wrapText="1"/>
    </xf>
    <xf numFmtId="0" fontId="25" fillId="0" borderId="0" xfId="0" applyFont="1" applyAlignment="1">
      <alignment horizontal="center" vertical="top"/>
    </xf>
    <xf numFmtId="0" fontId="17" fillId="3" borderId="1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horizontal="center" vertical="center"/>
    </xf>
    <xf numFmtId="0" fontId="17" fillId="3" borderId="3" xfId="0" applyFont="1" applyFill="1" applyBorder="1" applyAlignment="1">
      <alignment horizontal="center" vertical="center"/>
    </xf>
  </cellXfs>
  <cellStyles count="5">
    <cellStyle name="Comma" xfId="4" builtinId="3"/>
    <cellStyle name="Normal" xfId="0" builtinId="0"/>
    <cellStyle name="Percent" xfId="1" builtinId="5"/>
    <cellStyle name="Prozent 2" xfId="3" xr:uid="{00000000-0005-0000-0000-000003000000}"/>
    <cellStyle name="Standard 2" xfId="2" xr:uid="{00000000-0005-0000-0000-000004000000}"/>
  </cellStyles>
  <dxfs count="0"/>
  <tableStyles count="0" defaultTableStyle="TableStyleMedium2" defaultPivotStyle="PivotStyleLight16"/>
  <colors>
    <mruColors>
      <color rgb="FFFFCCFF"/>
      <color rgb="FF003145"/>
      <color rgb="FF5EB9CF"/>
      <color rgb="FF0000FF"/>
      <color rgb="FFFB5A17"/>
      <color rgb="FF001848"/>
      <color rgb="FFBFE3EC"/>
      <color rgb="FF1D8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ustomXml" Target="../customXml/item1.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customXml" Target="../customXml/item5.xml" Id="rId17" /><Relationship Type="http://schemas.openxmlformats.org/officeDocument/2006/relationships/worksheet" Target="worksheets/sheet2.xml" Id="rId2" /><Relationship Type="http://schemas.openxmlformats.org/officeDocument/2006/relationships/customXml" Target="../customXml/item4.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customXml" Target="../customXml/item3.xml" Id="rId1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2.xml" Id="rId14" /><Relationship Type="http://schemas.openxmlformats.org/officeDocument/2006/relationships/customXml" Target="/customXML/item6.xml" Id="imanage.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editAs="oneCell">
    <xdr:from>
      <xdr:col>0</xdr:col>
      <xdr:colOff>76869</xdr:colOff>
      <xdr:row>0</xdr:row>
      <xdr:rowOff>23813</xdr:rowOff>
    </xdr:from>
    <xdr:to>
      <xdr:col>0</xdr:col>
      <xdr:colOff>2288115</xdr:colOff>
      <xdr:row>4</xdr:row>
      <xdr:rowOff>23813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69" y="23813"/>
          <a:ext cx="2211246" cy="797719"/>
        </a:xfrm>
        <a:prstGeom prst="rect">
          <a:avLst/>
        </a:prstGeom>
      </xdr:spPr>
    </xdr:pic>
    <xdr:clientData/>
  </xdr:twoCellAnchor>
  <xdr:twoCellAnchor editAs="oneCell">
    <xdr:from>
      <xdr:col>0</xdr:col>
      <xdr:colOff>2250280</xdr:colOff>
      <xdr:row>0</xdr:row>
      <xdr:rowOff>23812</xdr:rowOff>
    </xdr:from>
    <xdr:to>
      <xdr:col>4</xdr:col>
      <xdr:colOff>881062</xdr:colOff>
      <xdr:row>5</xdr:row>
      <xdr:rowOff>14883</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0280" y="23812"/>
          <a:ext cx="3917157" cy="979290"/>
        </a:xfrm>
        <a:prstGeom prst="rect">
          <a:avLst/>
        </a:prstGeom>
      </xdr:spPr>
    </xdr:pic>
    <xdr:clientData/>
  </xdr:twoCellAnchor>
  <xdr:twoCellAnchor>
    <xdr:from>
      <xdr:col>12</xdr:col>
      <xdr:colOff>25001</xdr:colOff>
      <xdr:row>0</xdr:row>
      <xdr:rowOff>202407</xdr:rowOff>
    </xdr:from>
    <xdr:to>
      <xdr:col>13</xdr:col>
      <xdr:colOff>1297780</xdr:colOff>
      <xdr:row>4</xdr:row>
      <xdr:rowOff>35718</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3598126" y="202407"/>
          <a:ext cx="2653904" cy="631030"/>
        </a:xfrm>
        <a:prstGeom prst="rect">
          <a:avLst/>
        </a:prstGeom>
        <a:solidFill>
          <a:srgbClr val="00314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0">
              <a:solidFill>
                <a:schemeClr val="bg1"/>
              </a:solidFill>
              <a:latin typeface="Arial" panose="020B0604020202020204" pitchFamily="34" charset="0"/>
              <a:cs typeface="Arial" panose="020B0604020202020204" pitchFamily="34" charset="0"/>
            </a:rPr>
            <a:t>[Company</a:t>
          </a:r>
          <a:r>
            <a:rPr lang="de-DE" sz="2400" b="0" baseline="0">
              <a:solidFill>
                <a:schemeClr val="bg1"/>
              </a:solidFill>
              <a:latin typeface="Arial" panose="020B0604020202020204" pitchFamily="34" charset="0"/>
              <a:cs typeface="Arial" panose="020B0604020202020204" pitchFamily="34" charset="0"/>
            </a:rPr>
            <a:t> Name</a:t>
          </a:r>
          <a:r>
            <a:rPr lang="de-DE" sz="2400" b="0">
              <a:solidFill>
                <a:schemeClr val="bg1"/>
              </a:solidFill>
              <a:latin typeface="Arial" panose="020B0604020202020204" pitchFamily="34" charset="0"/>
              <a:cs typeface="Arial" panose="020B0604020202020204"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76869</xdr:colOff>
      <xdr:row>0</xdr:row>
      <xdr:rowOff>23813</xdr:rowOff>
    </xdr:from>
    <xdr:to>
      <xdr:col>0</xdr:col>
      <xdr:colOff>2288115</xdr:colOff>
      <xdr:row>4</xdr:row>
      <xdr:rowOff>23813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69" y="23813"/>
          <a:ext cx="2211246" cy="800100"/>
        </a:xfrm>
        <a:prstGeom prst="rect">
          <a:avLst/>
        </a:prstGeom>
      </xdr:spPr>
    </xdr:pic>
    <xdr:clientData/>
  </xdr:twoCellAnchor>
  <xdr:twoCellAnchor editAs="oneCell">
    <xdr:from>
      <xdr:col>0</xdr:col>
      <xdr:colOff>2250280</xdr:colOff>
      <xdr:row>0</xdr:row>
      <xdr:rowOff>23812</xdr:rowOff>
    </xdr:from>
    <xdr:to>
      <xdr:col>4</xdr:col>
      <xdr:colOff>833437</xdr:colOff>
      <xdr:row>5</xdr:row>
      <xdr:rowOff>14883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0280" y="23812"/>
          <a:ext cx="3907632" cy="981671"/>
        </a:xfrm>
        <a:prstGeom prst="rect">
          <a:avLst/>
        </a:prstGeom>
      </xdr:spPr>
    </xdr:pic>
    <xdr:clientData/>
  </xdr:twoCellAnchor>
  <xdr:twoCellAnchor>
    <xdr:from>
      <xdr:col>10</xdr:col>
      <xdr:colOff>583405</xdr:colOff>
      <xdr:row>0</xdr:row>
      <xdr:rowOff>214312</xdr:rowOff>
    </xdr:from>
    <xdr:to>
      <xdr:col>12</xdr:col>
      <xdr:colOff>1666874</xdr:colOff>
      <xdr:row>4</xdr:row>
      <xdr:rowOff>23811</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584530" y="214312"/>
          <a:ext cx="2917032" cy="607218"/>
        </a:xfrm>
        <a:prstGeom prst="rect">
          <a:avLst/>
        </a:prstGeom>
        <a:solidFill>
          <a:srgbClr val="00314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0">
              <a:solidFill>
                <a:schemeClr val="bg1"/>
              </a:solidFill>
              <a:latin typeface="Arial" panose="020B0604020202020204" pitchFamily="34" charset="0"/>
              <a:cs typeface="Arial" panose="020B0604020202020204" pitchFamily="34" charset="0"/>
            </a:rPr>
            <a:t>[Company</a:t>
          </a:r>
          <a:r>
            <a:rPr lang="de-DE" sz="2400" b="0" baseline="0">
              <a:solidFill>
                <a:schemeClr val="bg1"/>
              </a:solidFill>
              <a:latin typeface="Arial" panose="020B0604020202020204" pitchFamily="34" charset="0"/>
              <a:cs typeface="Arial" panose="020B0604020202020204" pitchFamily="34" charset="0"/>
            </a:rPr>
            <a:t> Name</a:t>
          </a:r>
          <a:r>
            <a:rPr lang="de-DE" sz="2400" b="0">
              <a:solidFill>
                <a:schemeClr val="bg1"/>
              </a:solidFill>
              <a:latin typeface="Arial" panose="020B0604020202020204" pitchFamily="34" charset="0"/>
              <a:cs typeface="Arial" panose="020B060402020202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76869</xdr:colOff>
      <xdr:row>0</xdr:row>
      <xdr:rowOff>23813</xdr:rowOff>
    </xdr:from>
    <xdr:to>
      <xdr:col>0</xdr:col>
      <xdr:colOff>2288115</xdr:colOff>
      <xdr:row>4</xdr:row>
      <xdr:rowOff>23813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69" y="23813"/>
          <a:ext cx="2211246" cy="800100"/>
        </a:xfrm>
        <a:prstGeom prst="rect">
          <a:avLst/>
        </a:prstGeom>
      </xdr:spPr>
    </xdr:pic>
    <xdr:clientData/>
  </xdr:twoCellAnchor>
  <xdr:twoCellAnchor editAs="oneCell">
    <xdr:from>
      <xdr:col>0</xdr:col>
      <xdr:colOff>2250280</xdr:colOff>
      <xdr:row>0</xdr:row>
      <xdr:rowOff>23812</xdr:rowOff>
    </xdr:from>
    <xdr:to>
      <xdr:col>4</xdr:col>
      <xdr:colOff>833437</xdr:colOff>
      <xdr:row>5</xdr:row>
      <xdr:rowOff>14883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0280" y="23812"/>
          <a:ext cx="3917157" cy="981671"/>
        </a:xfrm>
        <a:prstGeom prst="rect">
          <a:avLst/>
        </a:prstGeom>
      </xdr:spPr>
    </xdr:pic>
    <xdr:clientData/>
  </xdr:twoCellAnchor>
  <xdr:twoCellAnchor>
    <xdr:from>
      <xdr:col>8</xdr:col>
      <xdr:colOff>583405</xdr:colOff>
      <xdr:row>0</xdr:row>
      <xdr:rowOff>214312</xdr:rowOff>
    </xdr:from>
    <xdr:to>
      <xdr:col>10</xdr:col>
      <xdr:colOff>1666874</xdr:colOff>
      <xdr:row>4</xdr:row>
      <xdr:rowOff>23811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1418093" y="214312"/>
          <a:ext cx="2917031" cy="607218"/>
        </a:xfrm>
        <a:prstGeom prst="rect">
          <a:avLst/>
        </a:prstGeom>
        <a:solidFill>
          <a:srgbClr val="00314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0">
              <a:solidFill>
                <a:schemeClr val="bg1"/>
              </a:solidFill>
              <a:latin typeface="Arial" panose="020B0604020202020204" pitchFamily="34" charset="0"/>
              <a:cs typeface="Arial" panose="020B0604020202020204" pitchFamily="34" charset="0"/>
            </a:rPr>
            <a:t>[Company Name]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76869</xdr:colOff>
      <xdr:row>0</xdr:row>
      <xdr:rowOff>23813</xdr:rowOff>
    </xdr:from>
    <xdr:to>
      <xdr:col>0</xdr:col>
      <xdr:colOff>2288115</xdr:colOff>
      <xdr:row>4</xdr:row>
      <xdr:rowOff>23813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69" y="23813"/>
          <a:ext cx="2211246" cy="800100"/>
        </a:xfrm>
        <a:prstGeom prst="rect">
          <a:avLst/>
        </a:prstGeom>
      </xdr:spPr>
    </xdr:pic>
    <xdr:clientData/>
  </xdr:twoCellAnchor>
  <xdr:twoCellAnchor editAs="oneCell">
    <xdr:from>
      <xdr:col>0</xdr:col>
      <xdr:colOff>2250280</xdr:colOff>
      <xdr:row>0</xdr:row>
      <xdr:rowOff>23812</xdr:rowOff>
    </xdr:from>
    <xdr:to>
      <xdr:col>4</xdr:col>
      <xdr:colOff>833437</xdr:colOff>
      <xdr:row>5</xdr:row>
      <xdr:rowOff>14883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0280" y="23812"/>
          <a:ext cx="4171157" cy="999600"/>
        </a:xfrm>
        <a:prstGeom prst="rect">
          <a:avLst/>
        </a:prstGeom>
      </xdr:spPr>
    </xdr:pic>
    <xdr:clientData/>
  </xdr:twoCellAnchor>
  <xdr:twoCellAnchor>
    <xdr:from>
      <xdr:col>10</xdr:col>
      <xdr:colOff>806823</xdr:colOff>
      <xdr:row>1</xdr:row>
      <xdr:rowOff>20310</xdr:rowOff>
    </xdr:from>
    <xdr:to>
      <xdr:col>13</xdr:col>
      <xdr:colOff>0</xdr:colOff>
      <xdr:row>3</xdr:row>
      <xdr:rowOff>151278</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1609294" y="244428"/>
          <a:ext cx="2734235" cy="511968"/>
        </a:xfrm>
        <a:prstGeom prst="rect">
          <a:avLst/>
        </a:prstGeom>
        <a:solidFill>
          <a:srgbClr val="00314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0">
              <a:solidFill>
                <a:schemeClr val="bg1"/>
              </a:solidFill>
              <a:latin typeface="Arial" panose="020B0604020202020204" pitchFamily="34" charset="0"/>
              <a:cs typeface="Arial" panose="020B0604020202020204" pitchFamily="34" charset="0"/>
            </a:rPr>
            <a:t>[Company</a:t>
          </a:r>
          <a:r>
            <a:rPr lang="de-DE" sz="2400" b="0" baseline="0">
              <a:solidFill>
                <a:schemeClr val="bg1"/>
              </a:solidFill>
              <a:latin typeface="Arial" panose="020B0604020202020204" pitchFamily="34" charset="0"/>
              <a:cs typeface="Arial" panose="020B0604020202020204" pitchFamily="34" charset="0"/>
            </a:rPr>
            <a:t> </a:t>
          </a:r>
          <a:r>
            <a:rPr lang="de-DE" sz="2400" b="0">
              <a:solidFill>
                <a:schemeClr val="bg1"/>
              </a:solidFill>
              <a:latin typeface="Arial" panose="020B0604020202020204" pitchFamily="34" charset="0"/>
              <a:cs typeface="Arial" panose="020B0604020202020204" pitchFamily="34" charset="0"/>
            </a:rPr>
            <a:t>Name]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2226469</xdr:colOff>
      <xdr:row>0</xdr:row>
      <xdr:rowOff>11906</xdr:rowOff>
    </xdr:from>
    <xdr:to>
      <xdr:col>2</xdr:col>
      <xdr:colOff>1571624</xdr:colOff>
      <xdr:row>5</xdr:row>
      <xdr:rowOff>2977</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6469" y="11906"/>
          <a:ext cx="2797968" cy="979290"/>
        </a:xfrm>
        <a:prstGeom prst="rect">
          <a:avLst/>
        </a:prstGeom>
      </xdr:spPr>
    </xdr:pic>
    <xdr:clientData/>
  </xdr:twoCellAnchor>
  <xdr:twoCellAnchor>
    <xdr:from>
      <xdr:col>2</xdr:col>
      <xdr:colOff>1500187</xdr:colOff>
      <xdr:row>1</xdr:row>
      <xdr:rowOff>47624</xdr:rowOff>
    </xdr:from>
    <xdr:to>
      <xdr:col>4</xdr:col>
      <xdr:colOff>2309813</xdr:colOff>
      <xdr:row>4</xdr:row>
      <xdr:rowOff>71435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4953000" y="273843"/>
          <a:ext cx="2643188" cy="595311"/>
        </a:xfrm>
        <a:prstGeom prst="rect">
          <a:avLst/>
        </a:prstGeom>
        <a:solidFill>
          <a:srgbClr val="00314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0">
              <a:solidFill>
                <a:schemeClr val="bg1"/>
              </a:solidFill>
              <a:latin typeface="Arial" panose="020B0604020202020204" pitchFamily="34" charset="0"/>
              <a:cs typeface="Arial" panose="020B0604020202020204" pitchFamily="34" charset="0"/>
            </a:rPr>
            <a:t>[Company</a:t>
          </a:r>
          <a:r>
            <a:rPr lang="de-DE" sz="2400" b="0" baseline="0">
              <a:solidFill>
                <a:schemeClr val="bg1"/>
              </a:solidFill>
              <a:latin typeface="Arial" panose="020B0604020202020204" pitchFamily="34" charset="0"/>
              <a:cs typeface="Arial" panose="020B0604020202020204" pitchFamily="34" charset="0"/>
            </a:rPr>
            <a:t> Name</a:t>
          </a:r>
          <a:r>
            <a:rPr lang="de-DE" sz="2400" b="0">
              <a:solidFill>
                <a:schemeClr val="bg1"/>
              </a:solidFill>
              <a:latin typeface="Arial" panose="020B0604020202020204" pitchFamily="34" charset="0"/>
              <a:cs typeface="Arial" panose="020B0604020202020204" pitchFamily="34" charset="0"/>
            </a:rPr>
            <a:t>]</a:t>
          </a:r>
        </a:p>
      </xdr:txBody>
    </xdr:sp>
    <xdr:clientData/>
  </xdr:twoCellAnchor>
  <xdr:twoCellAnchor editAs="oneCell">
    <xdr:from>
      <xdr:col>0</xdr:col>
      <xdr:colOff>76869</xdr:colOff>
      <xdr:row>0</xdr:row>
      <xdr:rowOff>23813</xdr:rowOff>
    </xdr:from>
    <xdr:to>
      <xdr:col>0</xdr:col>
      <xdr:colOff>2288115</xdr:colOff>
      <xdr:row>4</xdr:row>
      <xdr:rowOff>23813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869" y="23813"/>
          <a:ext cx="2211246" cy="800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76869</xdr:colOff>
      <xdr:row>0</xdr:row>
      <xdr:rowOff>23813</xdr:rowOff>
    </xdr:from>
    <xdr:to>
      <xdr:col>2</xdr:col>
      <xdr:colOff>61646</xdr:colOff>
      <xdr:row>4</xdr:row>
      <xdr:rowOff>23813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69" y="23813"/>
          <a:ext cx="2211246" cy="797719"/>
        </a:xfrm>
        <a:prstGeom prst="rect">
          <a:avLst/>
        </a:prstGeom>
      </xdr:spPr>
    </xdr:pic>
    <xdr:clientData/>
  </xdr:twoCellAnchor>
  <xdr:twoCellAnchor editAs="oneCell">
    <xdr:from>
      <xdr:col>0</xdr:col>
      <xdr:colOff>2250280</xdr:colOff>
      <xdr:row>0</xdr:row>
      <xdr:rowOff>23812</xdr:rowOff>
    </xdr:from>
    <xdr:to>
      <xdr:col>6</xdr:col>
      <xdr:colOff>1023937</xdr:colOff>
      <xdr:row>5</xdr:row>
      <xdr:rowOff>14883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0280" y="23812"/>
          <a:ext cx="3907632" cy="981671"/>
        </a:xfrm>
        <a:prstGeom prst="rect">
          <a:avLst/>
        </a:prstGeom>
      </xdr:spPr>
    </xdr:pic>
    <xdr:clientData/>
  </xdr:twoCellAnchor>
  <xdr:twoCellAnchor>
    <xdr:from>
      <xdr:col>10</xdr:col>
      <xdr:colOff>464345</xdr:colOff>
      <xdr:row>1</xdr:row>
      <xdr:rowOff>23812</xdr:rowOff>
    </xdr:from>
    <xdr:to>
      <xdr:col>12</xdr:col>
      <xdr:colOff>1487092</xdr:colOff>
      <xdr:row>4</xdr:row>
      <xdr:rowOff>83342</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810626" y="250031"/>
          <a:ext cx="2653904" cy="631030"/>
        </a:xfrm>
        <a:prstGeom prst="rect">
          <a:avLst/>
        </a:prstGeom>
        <a:solidFill>
          <a:srgbClr val="00314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0">
              <a:solidFill>
                <a:schemeClr val="bg1"/>
              </a:solidFill>
              <a:latin typeface="Arial" panose="020B0604020202020204" pitchFamily="34" charset="0"/>
              <a:cs typeface="Arial" panose="020B0604020202020204" pitchFamily="34" charset="0"/>
            </a:rPr>
            <a:t>[Company Name]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76869</xdr:colOff>
      <xdr:row>0</xdr:row>
      <xdr:rowOff>23813</xdr:rowOff>
    </xdr:from>
    <xdr:to>
      <xdr:col>0</xdr:col>
      <xdr:colOff>2288115</xdr:colOff>
      <xdr:row>4</xdr:row>
      <xdr:rowOff>23813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69" y="23813"/>
          <a:ext cx="2211246" cy="800100"/>
        </a:xfrm>
        <a:prstGeom prst="rect">
          <a:avLst/>
        </a:prstGeom>
      </xdr:spPr>
    </xdr:pic>
    <xdr:clientData/>
  </xdr:twoCellAnchor>
  <xdr:twoCellAnchor editAs="oneCell">
    <xdr:from>
      <xdr:col>0</xdr:col>
      <xdr:colOff>2250280</xdr:colOff>
      <xdr:row>0</xdr:row>
      <xdr:rowOff>23812</xdr:rowOff>
    </xdr:from>
    <xdr:to>
      <xdr:col>5</xdr:col>
      <xdr:colOff>476249</xdr:colOff>
      <xdr:row>5</xdr:row>
      <xdr:rowOff>14883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0280" y="23812"/>
          <a:ext cx="3907632" cy="981671"/>
        </a:xfrm>
        <a:prstGeom prst="rect">
          <a:avLst/>
        </a:prstGeom>
      </xdr:spPr>
    </xdr:pic>
    <xdr:clientData/>
  </xdr:twoCellAnchor>
  <xdr:twoCellAnchor>
    <xdr:from>
      <xdr:col>11</xdr:col>
      <xdr:colOff>273843</xdr:colOff>
      <xdr:row>0</xdr:row>
      <xdr:rowOff>202407</xdr:rowOff>
    </xdr:from>
    <xdr:to>
      <xdr:col>14</xdr:col>
      <xdr:colOff>878680</xdr:colOff>
      <xdr:row>4</xdr:row>
      <xdr:rowOff>35718</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2453937" y="202407"/>
          <a:ext cx="2605087" cy="631030"/>
        </a:xfrm>
        <a:prstGeom prst="rect">
          <a:avLst/>
        </a:prstGeom>
        <a:solidFill>
          <a:srgbClr val="00314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0">
              <a:solidFill>
                <a:schemeClr val="bg1"/>
              </a:solidFill>
              <a:latin typeface="Arial" panose="020B0604020202020204" pitchFamily="34" charset="0"/>
              <a:cs typeface="Arial" panose="020B0604020202020204" pitchFamily="34" charset="0"/>
            </a:rPr>
            <a:t>[Company</a:t>
          </a:r>
          <a:r>
            <a:rPr lang="de-DE" sz="2400" b="0" baseline="0">
              <a:solidFill>
                <a:schemeClr val="bg1"/>
              </a:solidFill>
              <a:latin typeface="Arial" panose="020B0604020202020204" pitchFamily="34" charset="0"/>
              <a:cs typeface="Arial" panose="020B0604020202020204" pitchFamily="34" charset="0"/>
            </a:rPr>
            <a:t> Name</a:t>
          </a:r>
          <a:r>
            <a:rPr lang="de-DE" sz="2400" b="0">
              <a:solidFill>
                <a:schemeClr val="bg1"/>
              </a:solidFill>
              <a:latin typeface="Arial" panose="020B0604020202020204" pitchFamily="34" charset="0"/>
              <a:cs typeface="Arial" panose="020B0604020202020204"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76869</xdr:colOff>
      <xdr:row>0</xdr:row>
      <xdr:rowOff>23813</xdr:rowOff>
    </xdr:from>
    <xdr:to>
      <xdr:col>0</xdr:col>
      <xdr:colOff>2288115</xdr:colOff>
      <xdr:row>4</xdr:row>
      <xdr:rowOff>23813</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69" y="23813"/>
          <a:ext cx="2211246" cy="800100"/>
        </a:xfrm>
        <a:prstGeom prst="rect">
          <a:avLst/>
        </a:prstGeom>
      </xdr:spPr>
    </xdr:pic>
    <xdr:clientData/>
  </xdr:twoCellAnchor>
  <xdr:twoCellAnchor editAs="oneCell">
    <xdr:from>
      <xdr:col>0</xdr:col>
      <xdr:colOff>2250280</xdr:colOff>
      <xdr:row>0</xdr:row>
      <xdr:rowOff>23812</xdr:rowOff>
    </xdr:from>
    <xdr:to>
      <xdr:col>3</xdr:col>
      <xdr:colOff>1587</xdr:colOff>
      <xdr:row>5</xdr:row>
      <xdr:rowOff>14883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0280" y="23812"/>
          <a:ext cx="4164807" cy="981671"/>
        </a:xfrm>
        <a:prstGeom prst="rect">
          <a:avLst/>
        </a:prstGeom>
      </xdr:spPr>
    </xdr:pic>
    <xdr:clientData/>
  </xdr:twoCellAnchor>
  <xdr:twoCellAnchor>
    <xdr:from>
      <xdr:col>18</xdr:col>
      <xdr:colOff>860496</xdr:colOff>
      <xdr:row>1</xdr:row>
      <xdr:rowOff>23813</xdr:rowOff>
    </xdr:from>
    <xdr:to>
      <xdr:col>22</xdr:col>
      <xdr:colOff>939510</xdr:colOff>
      <xdr:row>4</xdr:row>
      <xdr:rowOff>58448</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6845178" y="248949"/>
          <a:ext cx="2919196" cy="606135"/>
        </a:xfrm>
        <a:prstGeom prst="rect">
          <a:avLst/>
        </a:prstGeom>
        <a:solidFill>
          <a:srgbClr val="00314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0">
              <a:solidFill>
                <a:schemeClr val="bg1"/>
              </a:solidFill>
              <a:latin typeface="Arial" panose="020B0604020202020204" pitchFamily="34" charset="0"/>
              <a:cs typeface="Arial" panose="020B0604020202020204" pitchFamily="34" charset="0"/>
            </a:rPr>
            <a:t>[Company Name]</a:t>
          </a:r>
        </a:p>
      </xdr:txBody>
    </xdr:sp>
    <xdr:clientData/>
  </xdr:twoCellAnchor>
  <mc:AlternateContent xmlns:mc="http://schemas.openxmlformats.org/markup-compatibility/2006">
    <mc:Choice xmlns:a14="http://schemas.microsoft.com/office/drawing/2010/main" Requires="a14">
      <xdr:twoCellAnchor>
        <xdr:from>
          <xdr:col>2</xdr:col>
          <xdr:colOff>838200</xdr:colOff>
          <xdr:row>55</xdr:row>
          <xdr:rowOff>66675</xdr:rowOff>
        </xdr:from>
        <xdr:to>
          <xdr:col>4</xdr:col>
          <xdr:colOff>828675</xdr:colOff>
          <xdr:row>56</xdr:row>
          <xdr:rowOff>0</xdr:rowOff>
        </xdr:to>
        <xdr:sp macro="" textlink="">
          <xdr:nvSpPr>
            <xdr:cNvPr id="14346" name="Object 10"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53</xdr:row>
          <xdr:rowOff>104775</xdr:rowOff>
        </xdr:from>
        <xdr:to>
          <xdr:col>0</xdr:col>
          <xdr:colOff>2686050</xdr:colOff>
          <xdr:row>53</xdr:row>
          <xdr:rowOff>733425</xdr:rowOff>
        </xdr:to>
        <xdr:sp macro="" textlink="">
          <xdr:nvSpPr>
            <xdr:cNvPr id="14349" name="Object 13"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435770</xdr:colOff>
      <xdr:row>13</xdr:row>
      <xdr:rowOff>176212</xdr:rowOff>
    </xdr:from>
    <xdr:to>
      <xdr:col>6</xdr:col>
      <xdr:colOff>1273970</xdr:colOff>
      <xdr:row>19</xdr:row>
      <xdr:rowOff>21431</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10170320" y="2690812"/>
          <a:ext cx="2209800" cy="97869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Note: make sure the issuance of dilution protection shares does not trigger an "internal down round" again.Commercial agreement on the FDSC used for calculation purposes. </a:t>
          </a:r>
        </a:p>
      </xdr:txBody>
    </xdr:sp>
    <xdr:clientData/>
  </xdr:twoCellAnchor>
  <xdr:twoCellAnchor>
    <xdr:from>
      <xdr:col>5</xdr:col>
      <xdr:colOff>478630</xdr:colOff>
      <xdr:row>19</xdr:row>
      <xdr:rowOff>157162</xdr:rowOff>
    </xdr:from>
    <xdr:to>
      <xdr:col>6</xdr:col>
      <xdr:colOff>1293017</xdr:colOff>
      <xdr:row>25</xdr:row>
      <xdr:rowOff>71437</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10213180" y="3805237"/>
          <a:ext cx="2185987" cy="10477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Note: Check the IA / SHA who benefits from the anti-dilution protection. Assumption here: all Holders of Preferred Shares. </a:t>
          </a:r>
        </a:p>
      </xdr:txBody>
    </xdr:sp>
    <xdr:clientData/>
  </xdr:twoCellAnchor>
  <xdr:twoCellAnchor>
    <xdr:from>
      <xdr:col>7</xdr:col>
      <xdr:colOff>100013</xdr:colOff>
      <xdr:row>55</xdr:row>
      <xdr:rowOff>73820</xdr:rowOff>
    </xdr:from>
    <xdr:to>
      <xdr:col>10</xdr:col>
      <xdr:colOff>123825</xdr:colOff>
      <xdr:row>55</xdr:row>
      <xdr:rowOff>495300</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12920663" y="12551570"/>
          <a:ext cx="3509962" cy="42148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000">
              <a:latin typeface=""/>
            </a:rPr>
            <a:t>Consider whether any shares will be issued on the round at a discount, e.g. loan notes, ASAs, etc.</a:t>
          </a:r>
          <a:br>
            <a:rPr lang="en-GB" sz="1000">
              <a:latin typeface=""/>
            </a:rPr>
          </a:br>
          <a:br>
            <a:rPr lang="en-GB" sz="1000">
              <a:latin typeface=""/>
            </a:rPr>
          </a:br>
          <a:br>
            <a:rPr lang="en-GB" sz="1100"/>
          </a:br>
          <a:endParaRPr lang="en-GB" sz="1100"/>
        </a:p>
      </xdr:txBody>
    </xdr:sp>
    <xdr:clientData/>
  </xdr:twoCellAnchor>
  <xdr:twoCellAnchor>
    <xdr:from>
      <xdr:col>7</xdr:col>
      <xdr:colOff>104775</xdr:colOff>
      <xdr:row>57</xdr:row>
      <xdr:rowOff>171450</xdr:rowOff>
    </xdr:from>
    <xdr:to>
      <xdr:col>12</xdr:col>
      <xdr:colOff>476249</xdr:colOff>
      <xdr:row>57</xdr:row>
      <xdr:rowOff>676275</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12925425" y="13544550"/>
          <a:ext cx="4019549" cy="5048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"Relevant Security" means any security, option, warrant, agreement or instrument which confers any right to subscribe for any share(s) in the capital of the Company.</a:t>
          </a:r>
          <a:endParaRPr lang="en-GB" sz="1000">
            <a:effectLst/>
            <a:latin typeface="Arial" panose="020B0604020202020204" pitchFamily="34" charset="0"/>
            <a:cs typeface="Arial" panose="020B0604020202020204" pitchFamily="34" charset="0"/>
          </a:endParaRPr>
        </a:p>
        <a:p>
          <a:endParaRPr lang="en-GB" sz="1100"/>
        </a:p>
      </xdr:txBody>
    </xdr:sp>
    <xdr:clientData/>
  </xdr:twoCellAnchor>
  <xdr:twoCellAnchor>
    <xdr:from>
      <xdr:col>7</xdr:col>
      <xdr:colOff>121444</xdr:colOff>
      <xdr:row>58</xdr:row>
      <xdr:rowOff>142875</xdr:rowOff>
    </xdr:from>
    <xdr:to>
      <xdr:col>14</xdr:col>
      <xdr:colOff>188119</xdr:colOff>
      <xdr:row>58</xdr:row>
      <xdr:rowOff>723900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12503944" y="14406563"/>
          <a:ext cx="5757863" cy="5810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If 75 shares are issued for £1.00 each and 25 shares are issued for £0.50 each, the average price would be weighted depending on the number of shares issued at each price, i.e. (75 x £1.00 + 25 x £0.50) / (75 + 25) = £0.875, rather than a simple average of the two prices, i.e. (£1.00 + £0.50)/2 = £0.</a:t>
          </a:r>
          <a:br>
            <a:rPr lang="en-GB" sz="1000">
              <a:solidFill>
                <a:schemeClr val="dk1"/>
              </a:solidFill>
              <a:effectLst/>
              <a:latin typeface="Arial" panose="020B0604020202020204" pitchFamily="34" charset="0"/>
              <a:ea typeface="+mn-ea"/>
              <a:cs typeface="Arial" panose="020B0604020202020204" pitchFamily="34" charset="0"/>
            </a:rPr>
          </a:br>
          <a:endParaRPr lang="en-GB"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5.emf"/><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2.bin"/><Relationship Id="rId5" Type="http://schemas.openxmlformats.org/officeDocument/2006/relationships/image" Target="../media/image4.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145"/>
    <pageSetUpPr fitToPage="1"/>
  </sheetPr>
  <dimension ref="A1:O41"/>
  <sheetViews>
    <sheetView zoomScale="80" zoomScaleNormal="80" workbookViewId="0">
      <pane ySplit="5" topLeftCell="A6" activePane="bottomLeft" state="frozen"/>
      <selection pane="bottomLeft" activeCell="N36" sqref="N36"/>
    </sheetView>
  </sheetViews>
  <sheetFormatPr defaultColWidth="11.42578125" defaultRowHeight="15" customHeight="1"/>
  <cols>
    <col min="1" max="1" width="50" style="3" customWidth="1"/>
    <col min="2" max="2" width="1.7109375" style="3" customWidth="1"/>
    <col min="3" max="3" width="25.7109375" style="3" customWidth="1"/>
    <col min="4" max="4" width="1.7109375" style="3" customWidth="1"/>
    <col min="5" max="8" width="25.7109375" style="3" customWidth="1"/>
    <col min="9" max="9" width="1.7109375" style="3" customWidth="1"/>
    <col min="10" max="11" width="20.7109375" style="3" customWidth="1"/>
    <col min="12" max="12" width="1.7109375" style="3" customWidth="1"/>
    <col min="13" max="14" width="20.7109375" style="3" customWidth="1"/>
    <col min="15" max="16384" width="11.42578125" style="3"/>
  </cols>
  <sheetData>
    <row r="1" spans="1:15" ht="18" customHeight="1">
      <c r="A1" s="15"/>
      <c r="B1" s="15"/>
      <c r="C1" s="15"/>
      <c r="D1" s="15"/>
      <c r="E1" s="15"/>
      <c r="F1" s="17"/>
      <c r="G1" s="17"/>
      <c r="H1" s="15"/>
      <c r="I1" s="253"/>
      <c r="J1" s="253"/>
      <c r="K1" s="253"/>
      <c r="L1" s="253"/>
      <c r="M1" s="253"/>
      <c r="N1" s="253"/>
    </row>
    <row r="2" spans="1:15" ht="15" customHeight="1">
      <c r="A2" s="15"/>
      <c r="B2" s="15"/>
      <c r="C2" s="15"/>
      <c r="D2" s="15"/>
      <c r="E2" s="17"/>
      <c r="F2" s="17"/>
      <c r="G2" s="17"/>
      <c r="H2" s="15"/>
      <c r="I2" s="253"/>
      <c r="J2" s="253"/>
      <c r="K2" s="253"/>
      <c r="L2" s="253"/>
      <c r="M2" s="253"/>
      <c r="N2" s="253"/>
    </row>
    <row r="3" spans="1:15" ht="15" customHeight="1">
      <c r="A3" s="15"/>
      <c r="B3" s="15"/>
      <c r="C3" s="15"/>
      <c r="D3" s="15"/>
      <c r="E3" s="17"/>
      <c r="F3" s="17"/>
      <c r="G3" s="17"/>
      <c r="H3" s="16" t="s">
        <v>4</v>
      </c>
      <c r="I3" s="253"/>
      <c r="J3" s="253"/>
      <c r="K3" s="253"/>
      <c r="L3" s="253"/>
      <c r="M3" s="253"/>
      <c r="N3" s="253"/>
    </row>
    <row r="4" spans="1:15" ht="15" customHeight="1">
      <c r="A4" s="15"/>
      <c r="B4" s="15"/>
      <c r="C4" s="15"/>
      <c r="D4" s="15"/>
      <c r="E4" s="17"/>
      <c r="F4" s="17"/>
      <c r="G4" s="17"/>
      <c r="H4" s="15"/>
      <c r="I4" s="253"/>
      <c r="J4" s="253"/>
      <c r="K4" s="253"/>
      <c r="L4" s="253"/>
      <c r="M4" s="253"/>
      <c r="N4" s="253"/>
    </row>
    <row r="5" spans="1:15" ht="15" customHeight="1">
      <c r="A5" s="15"/>
      <c r="B5" s="15"/>
      <c r="C5" s="15"/>
      <c r="D5" s="15"/>
      <c r="E5" s="15"/>
      <c r="F5" s="17"/>
      <c r="G5" s="17"/>
      <c r="H5" s="15"/>
      <c r="I5" s="253"/>
      <c r="J5" s="253"/>
      <c r="K5" s="253"/>
      <c r="L5" s="253"/>
      <c r="M5" s="253"/>
      <c r="N5" s="253"/>
    </row>
    <row r="6" spans="1:15" ht="15" customHeight="1">
      <c r="J6" s="14"/>
      <c r="K6" s="14"/>
      <c r="L6" s="14"/>
      <c r="M6" s="14"/>
      <c r="N6" s="14"/>
    </row>
    <row r="7" spans="1:15" ht="15" customHeight="1">
      <c r="A7" s="254" t="s">
        <v>1</v>
      </c>
      <c r="B7" s="39"/>
      <c r="C7" s="20" t="s">
        <v>105</v>
      </c>
      <c r="D7" s="39"/>
      <c r="E7" s="20" t="s">
        <v>106</v>
      </c>
      <c r="F7" s="20" t="s">
        <v>9</v>
      </c>
      <c r="G7" s="20" t="s">
        <v>37</v>
      </c>
      <c r="H7" s="20" t="s">
        <v>38</v>
      </c>
      <c r="J7" s="255" t="s">
        <v>107</v>
      </c>
      <c r="K7" s="255"/>
      <c r="L7" s="14"/>
      <c r="M7" s="255" t="s">
        <v>108</v>
      </c>
      <c r="N7" s="255"/>
    </row>
    <row r="8" spans="1:15" ht="15" customHeight="1">
      <c r="A8" s="254"/>
      <c r="B8" s="39"/>
      <c r="C8" s="20" t="s">
        <v>5</v>
      </c>
      <c r="D8" s="39"/>
      <c r="E8" s="20" t="s">
        <v>6</v>
      </c>
      <c r="F8" s="20" t="s">
        <v>6</v>
      </c>
      <c r="G8" s="20" t="s">
        <v>6</v>
      </c>
      <c r="H8" s="20" t="s">
        <v>6</v>
      </c>
      <c r="J8" s="20" t="s">
        <v>6</v>
      </c>
      <c r="K8" s="20" t="s">
        <v>10</v>
      </c>
      <c r="L8" s="14"/>
      <c r="M8" s="20" t="s">
        <v>6</v>
      </c>
      <c r="N8" s="20" t="s">
        <v>10</v>
      </c>
    </row>
    <row r="10" spans="1:15" ht="14.25" customHeight="1">
      <c r="A10" s="24" t="s">
        <v>7</v>
      </c>
      <c r="B10" s="23"/>
      <c r="C10" s="23"/>
      <c r="D10" s="23"/>
    </row>
    <row r="11" spans="1:15" ht="15" customHeight="1">
      <c r="A11" s="1" t="s">
        <v>71</v>
      </c>
      <c r="B11" s="1"/>
      <c r="C11" s="1"/>
      <c r="D11" s="1"/>
      <c r="E11" s="4">
        <v>12500</v>
      </c>
      <c r="F11" s="19"/>
      <c r="G11" s="19"/>
      <c r="H11" s="19"/>
      <c r="J11" s="19">
        <f>SUM(E11:H11)</f>
        <v>12500</v>
      </c>
      <c r="K11" s="28">
        <f t="shared" ref="K11:K22" si="0">J11/$J$28</f>
        <v>0.12755102040816327</v>
      </c>
      <c r="M11" s="19">
        <f>SUM(C11:H11)</f>
        <v>12500</v>
      </c>
      <c r="N11" s="28">
        <f>M11/$M$28</f>
        <v>0.11848341232227488</v>
      </c>
    </row>
    <row r="12" spans="1:15" ht="15" customHeight="1">
      <c r="A12" s="1" t="s">
        <v>72</v>
      </c>
      <c r="B12" s="1"/>
      <c r="C12" s="1"/>
      <c r="D12" s="1"/>
      <c r="E12" s="4">
        <v>12500</v>
      </c>
      <c r="F12" s="19"/>
      <c r="G12" s="19"/>
      <c r="H12" s="19"/>
      <c r="J12" s="19">
        <f>SUM(E12:H12)</f>
        <v>12500</v>
      </c>
      <c r="K12" s="28">
        <f t="shared" si="0"/>
        <v>0.12755102040816327</v>
      </c>
      <c r="M12" s="19">
        <f>SUM(C12:H12)</f>
        <v>12500</v>
      </c>
      <c r="N12" s="28">
        <f>M12/$M$28</f>
        <v>0.11848341232227488</v>
      </c>
    </row>
    <row r="13" spans="1:15" ht="15" customHeight="1">
      <c r="E13" s="19"/>
      <c r="F13" s="19"/>
      <c r="G13" s="19"/>
      <c r="H13" s="19"/>
      <c r="J13" s="19"/>
      <c r="K13" s="28"/>
      <c r="M13" s="19"/>
      <c r="N13" s="28"/>
      <c r="O13" s="104">
        <f>SUM(N11:N12)</f>
        <v>0.23696682464454977</v>
      </c>
    </row>
    <row r="14" spans="1:15" ht="15" customHeight="1">
      <c r="A14" s="24" t="s">
        <v>103</v>
      </c>
      <c r="B14" s="24"/>
      <c r="C14" s="24"/>
      <c r="D14" s="24"/>
      <c r="E14" s="19"/>
      <c r="F14" s="19"/>
      <c r="G14" s="19"/>
      <c r="H14" s="19"/>
      <c r="J14" s="19"/>
      <c r="K14" s="28"/>
      <c r="M14" s="19"/>
      <c r="N14" s="28"/>
    </row>
    <row r="15" spans="1:15" ht="15" customHeight="1">
      <c r="A15" s="1" t="s">
        <v>2</v>
      </c>
      <c r="B15" s="1"/>
      <c r="C15" s="1"/>
      <c r="D15" s="1"/>
      <c r="E15" s="19">
        <v>10000</v>
      </c>
      <c r="G15" s="19"/>
      <c r="H15" s="19"/>
      <c r="J15" s="19">
        <f>SUM(E15:H15)</f>
        <v>10000</v>
      </c>
      <c r="K15" s="28">
        <f t="shared" si="0"/>
        <v>0.10204081632653061</v>
      </c>
      <c r="M15" s="19">
        <f>SUM(C15:H15)</f>
        <v>10000</v>
      </c>
      <c r="N15" s="28">
        <f>M15/$M$28</f>
        <v>9.4786729857819899E-2</v>
      </c>
    </row>
    <row r="16" spans="1:15" ht="15" customHeight="1">
      <c r="A16" s="1" t="s">
        <v>2</v>
      </c>
      <c r="B16" s="1"/>
      <c r="C16" s="1"/>
      <c r="D16" s="1"/>
      <c r="E16" s="19">
        <v>10000</v>
      </c>
      <c r="G16" s="19"/>
      <c r="H16" s="19"/>
      <c r="J16" s="19">
        <f>SUM(E16:H16)</f>
        <v>10000</v>
      </c>
      <c r="K16" s="28">
        <f t="shared" si="0"/>
        <v>0.10204081632653061</v>
      </c>
      <c r="M16" s="19">
        <f>SUM(C16:H16)</f>
        <v>10000</v>
      </c>
      <c r="N16" s="28">
        <f>M16/$M$28</f>
        <v>9.4786729857819899E-2</v>
      </c>
    </row>
    <row r="17" spans="1:15" ht="15" customHeight="1">
      <c r="A17" s="1"/>
      <c r="B17" s="1"/>
      <c r="C17" s="1"/>
      <c r="D17" s="1"/>
      <c r="E17" s="19"/>
      <c r="F17" s="19"/>
      <c r="G17" s="19"/>
      <c r="H17" s="19"/>
      <c r="J17" s="19"/>
      <c r="K17" s="28"/>
      <c r="M17" s="19"/>
      <c r="N17" s="28"/>
      <c r="O17" s="104">
        <f>SUM(N15:N16)</f>
        <v>0.1895734597156398</v>
      </c>
    </row>
    <row r="18" spans="1:15" ht="15" customHeight="1">
      <c r="A18" s="24" t="s">
        <v>36</v>
      </c>
      <c r="B18" s="24"/>
      <c r="C18" s="24"/>
      <c r="D18" s="24"/>
      <c r="E18" s="19"/>
      <c r="F18" s="19"/>
      <c r="G18" s="19"/>
      <c r="H18" s="19"/>
      <c r="J18" s="19"/>
      <c r="K18" s="28"/>
      <c r="M18" s="19"/>
      <c r="N18" s="28"/>
    </row>
    <row r="19" spans="1:15" ht="15" customHeight="1">
      <c r="A19" s="1" t="s">
        <v>73</v>
      </c>
      <c r="B19" s="1"/>
      <c r="C19" s="1"/>
      <c r="D19" s="1"/>
      <c r="E19" s="19"/>
      <c r="F19" s="19">
        <v>2000</v>
      </c>
      <c r="G19" s="19">
        <v>9000</v>
      </c>
      <c r="H19" s="19"/>
      <c r="J19" s="19">
        <f>SUM(E19:H19)</f>
        <v>11000</v>
      </c>
      <c r="K19" s="28">
        <f t="shared" si="0"/>
        <v>0.11224489795918367</v>
      </c>
      <c r="M19" s="19">
        <f>SUM(C19:H19)</f>
        <v>11000</v>
      </c>
      <c r="N19" s="28">
        <f>M19/$M$28</f>
        <v>0.10426540284360189</v>
      </c>
    </row>
    <row r="20" spans="1:15" ht="14.25" customHeight="1">
      <c r="A20" s="1" t="s">
        <v>74</v>
      </c>
      <c r="B20" s="1"/>
      <c r="C20" s="1"/>
      <c r="D20" s="1"/>
      <c r="E20" s="19"/>
      <c r="F20" s="19">
        <v>1000</v>
      </c>
      <c r="G20" s="19">
        <v>9000</v>
      </c>
      <c r="H20" s="19">
        <v>7000</v>
      </c>
      <c r="J20" s="19">
        <f>SUM(E20:H20)</f>
        <v>17000</v>
      </c>
      <c r="K20" s="28">
        <f t="shared" si="0"/>
        <v>0.17346938775510204</v>
      </c>
      <c r="M20" s="19">
        <f>SUM(C20:H20)</f>
        <v>17000</v>
      </c>
      <c r="N20" s="28">
        <f>M20/$M$28</f>
        <v>0.16113744075829384</v>
      </c>
    </row>
    <row r="21" spans="1:15" ht="15" customHeight="1">
      <c r="A21" s="1" t="s">
        <v>75</v>
      </c>
      <c r="B21" s="1"/>
      <c r="C21" s="1"/>
      <c r="D21" s="1"/>
      <c r="E21" s="19"/>
      <c r="F21" s="19"/>
      <c r="G21" s="19">
        <v>9000</v>
      </c>
      <c r="H21" s="19">
        <v>7000</v>
      </c>
      <c r="J21" s="19">
        <f>SUM(E21:H21)</f>
        <v>16000</v>
      </c>
      <c r="K21" s="28">
        <f t="shared" si="0"/>
        <v>0.16326530612244897</v>
      </c>
      <c r="M21" s="19">
        <f>SUM(C21:H21)</f>
        <v>16000</v>
      </c>
      <c r="N21" s="28">
        <f>M21/$M$28</f>
        <v>0.15165876777251186</v>
      </c>
    </row>
    <row r="22" spans="1:15" ht="15" customHeight="1">
      <c r="A22" s="1" t="s">
        <v>76</v>
      </c>
      <c r="B22" s="1"/>
      <c r="C22" s="1"/>
      <c r="D22" s="1"/>
      <c r="E22" s="19"/>
      <c r="F22" s="19"/>
      <c r="G22" s="19">
        <v>9000</v>
      </c>
      <c r="H22" s="19"/>
      <c r="J22" s="19">
        <f>SUM(E22:H22)</f>
        <v>9000</v>
      </c>
      <c r="K22" s="28">
        <f t="shared" si="0"/>
        <v>9.1836734693877556E-2</v>
      </c>
      <c r="M22" s="19">
        <f>SUM(C22:H22)</f>
        <v>9000</v>
      </c>
      <c r="N22" s="28">
        <f>M22/$M$28</f>
        <v>8.5308056872037921E-2</v>
      </c>
    </row>
    <row r="23" spans="1:15" ht="15" customHeight="1">
      <c r="A23" s="21"/>
      <c r="B23" s="21"/>
      <c r="C23" s="21"/>
      <c r="D23" s="21"/>
      <c r="E23" s="19"/>
      <c r="F23" s="19"/>
      <c r="G23" s="19"/>
      <c r="H23" s="19"/>
      <c r="J23" s="19"/>
      <c r="M23" s="19"/>
      <c r="N23" s="28"/>
      <c r="O23" s="104">
        <f>SUM(N19:N22)</f>
        <v>0.50236966824644547</v>
      </c>
    </row>
    <row r="24" spans="1:15" ht="15" customHeight="1">
      <c r="A24" s="24" t="s">
        <v>3</v>
      </c>
      <c r="B24" s="24"/>
      <c r="C24" s="24"/>
      <c r="D24" s="24"/>
      <c r="E24" s="19"/>
      <c r="F24" s="19"/>
      <c r="G24" s="19"/>
      <c r="H24" s="19"/>
      <c r="J24" s="19"/>
      <c r="M24" s="19"/>
      <c r="N24" s="28"/>
    </row>
    <row r="25" spans="1:15" ht="15" customHeight="1">
      <c r="A25" s="1" t="s">
        <v>77</v>
      </c>
      <c r="B25" s="1"/>
      <c r="C25" s="43">
        <f>'ESOP Allocation (DATE)'!C22</f>
        <v>7500</v>
      </c>
      <c r="D25" s="1"/>
      <c r="F25" s="19"/>
      <c r="G25" s="19"/>
      <c r="H25" s="19"/>
      <c r="J25" s="19"/>
      <c r="M25" s="43">
        <f>SUM(C25:H25)</f>
        <v>7500</v>
      </c>
      <c r="N25" s="28">
        <f>M25/$M$28</f>
        <v>7.1090047393364927E-2</v>
      </c>
    </row>
    <row r="26" spans="1:15" ht="15" customHeight="1">
      <c r="A26" s="1" t="s">
        <v>23</v>
      </c>
      <c r="B26" s="1"/>
      <c r="C26" s="43">
        <f>2500</f>
        <v>2500</v>
      </c>
      <c r="D26" s="1"/>
      <c r="F26" s="4"/>
      <c r="G26" s="4"/>
      <c r="H26" s="31"/>
      <c r="I26" s="5"/>
      <c r="J26" s="31"/>
      <c r="K26" s="5"/>
      <c r="L26" s="5"/>
      <c r="M26" s="19"/>
      <c r="N26" s="28"/>
    </row>
    <row r="27" spans="1:15" ht="15" customHeight="1">
      <c r="A27" s="1"/>
      <c r="B27" s="1"/>
      <c r="C27" s="128"/>
      <c r="D27" s="1"/>
      <c r="E27" s="26"/>
      <c r="F27" s="25"/>
      <c r="G27" s="25"/>
      <c r="H27" s="27"/>
      <c r="I27" s="5"/>
      <c r="J27" s="5"/>
      <c r="K27" s="5"/>
      <c r="L27" s="5"/>
      <c r="M27" s="26"/>
      <c r="N27" s="6"/>
    </row>
    <row r="28" spans="1:15" ht="15" customHeight="1" thickBot="1">
      <c r="A28" s="7" t="s">
        <v>8</v>
      </c>
      <c r="B28" s="11"/>
      <c r="C28" s="32">
        <f>SUM(C11:C27)</f>
        <v>10000</v>
      </c>
      <c r="D28" s="11"/>
      <c r="E28" s="32">
        <f>SUM(E11:E27)</f>
        <v>45000</v>
      </c>
      <c r="F28" s="32">
        <f>SUM(F11:F27)</f>
        <v>3000</v>
      </c>
      <c r="G28" s="32">
        <f>SUM(G11:G27)</f>
        <v>36000</v>
      </c>
      <c r="H28" s="32">
        <f>SUM(H11:H27)</f>
        <v>14000</v>
      </c>
      <c r="I28" s="22"/>
      <c r="J28" s="32">
        <f>SUM(J11:J22)</f>
        <v>98000</v>
      </c>
      <c r="K28" s="8">
        <f>SUM(K11:K22)</f>
        <v>0.99999999999999989</v>
      </c>
      <c r="L28" s="22"/>
      <c r="M28" s="32">
        <f>SUM(M11:M25)</f>
        <v>105500</v>
      </c>
      <c r="N28" s="8">
        <f>SUM(N11:N25)</f>
        <v>0.99999999999999989</v>
      </c>
    </row>
    <row r="29" spans="1:15" ht="15" customHeight="1">
      <c r="A29" s="10"/>
      <c r="B29" s="10"/>
      <c r="C29" s="10"/>
      <c r="D29" s="10"/>
      <c r="E29" s="10"/>
      <c r="F29" s="11"/>
      <c r="G29" s="11"/>
      <c r="H29" s="11"/>
      <c r="I29" s="11"/>
      <c r="J29" s="11"/>
      <c r="K29" s="11"/>
      <c r="L29" s="11"/>
      <c r="M29" s="11"/>
      <c r="N29" s="9"/>
    </row>
    <row r="30" spans="1:15" ht="15" customHeight="1">
      <c r="A30" s="12"/>
      <c r="B30" s="12"/>
      <c r="C30" s="12"/>
      <c r="D30" s="12"/>
      <c r="E30" s="12"/>
      <c r="F30" s="11"/>
      <c r="G30" s="11"/>
      <c r="H30" s="11"/>
      <c r="I30" s="11"/>
      <c r="J30" s="11"/>
      <c r="K30" s="11"/>
      <c r="L30" s="11"/>
      <c r="M30" s="11"/>
      <c r="N30" s="9"/>
    </row>
    <row r="31" spans="1:15" s="86" customFormat="1" ht="15" customHeight="1">
      <c r="A31" s="93" t="s">
        <v>104</v>
      </c>
      <c r="B31" s="94"/>
      <c r="C31" s="94"/>
      <c r="D31" s="94"/>
      <c r="E31" s="95"/>
      <c r="F31" s="11"/>
      <c r="G31" s="11"/>
      <c r="H31" s="11"/>
      <c r="I31" s="11"/>
      <c r="J31" s="11"/>
      <c r="K31" s="11"/>
      <c r="L31" s="11"/>
      <c r="M31" s="11"/>
    </row>
    <row r="32" spans="1:15" s="86" customFormat="1" ht="15" customHeight="1">
      <c r="A32" s="93" t="s">
        <v>62</v>
      </c>
      <c r="B32" s="94"/>
      <c r="C32" s="94"/>
      <c r="D32" s="94"/>
      <c r="E32" s="95"/>
      <c r="F32" s="2"/>
      <c r="G32" s="2"/>
      <c r="H32" s="2"/>
      <c r="I32" s="2"/>
      <c r="J32" s="2"/>
      <c r="K32" s="2"/>
      <c r="L32" s="2"/>
      <c r="M32" s="2"/>
    </row>
    <row r="33" spans="1:14" s="86" customFormat="1" ht="15" customHeight="1">
      <c r="A33" s="95"/>
      <c r="B33" s="95"/>
      <c r="C33" s="95"/>
      <c r="D33" s="95"/>
      <c r="E33" s="95"/>
      <c r="F33" s="11"/>
      <c r="G33" s="11"/>
      <c r="H33" s="11"/>
      <c r="I33" s="11"/>
      <c r="J33" s="90"/>
      <c r="K33" s="11"/>
      <c r="L33" s="11"/>
      <c r="M33" s="11"/>
    </row>
    <row r="35" spans="1:14" ht="15" customHeight="1">
      <c r="A35" s="125" t="s">
        <v>47</v>
      </c>
    </row>
    <row r="36" spans="1:14" ht="15" customHeight="1">
      <c r="A36" s="125" t="s">
        <v>48</v>
      </c>
      <c r="B36" s="13"/>
      <c r="C36" s="13"/>
      <c r="D36" s="13"/>
      <c r="E36" s="13"/>
      <c r="F36" s="13"/>
      <c r="G36" s="13"/>
      <c r="H36" s="13"/>
      <c r="I36" s="13"/>
      <c r="J36" s="13"/>
      <c r="K36" s="13"/>
      <c r="L36" s="13"/>
      <c r="M36" s="13"/>
    </row>
    <row r="37" spans="1:14" ht="15" customHeight="1">
      <c r="A37" s="126" t="s">
        <v>49</v>
      </c>
    </row>
    <row r="38" spans="1:14" ht="15" customHeight="1">
      <c r="N38" s="9"/>
    </row>
    <row r="39" spans="1:14" ht="42" customHeight="1">
      <c r="A39" s="156" t="s">
        <v>166</v>
      </c>
      <c r="N39" s="9"/>
    </row>
    <row r="40" spans="1:14" ht="15" customHeight="1">
      <c r="N40" s="9"/>
    </row>
    <row r="41" spans="1:14" ht="15" customHeight="1">
      <c r="N41" s="1"/>
    </row>
  </sheetData>
  <mergeCells count="4">
    <mergeCell ref="I1:N5"/>
    <mergeCell ref="A7:A8"/>
    <mergeCell ref="J7:K7"/>
    <mergeCell ref="M7:N7"/>
  </mergeCells>
  <pageMargins left="0.7" right="0.7" top="0.78740157499999996" bottom="0.78740157499999996" header="0.3" footer="0.3"/>
  <pageSetup paperSize="8"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B4ED9-4377-415B-B5F4-FDD80F232A97}">
  <sheetPr codeName="Sheet2">
    <tabColor rgb="FF003145"/>
    <pageSetUpPr fitToPage="1"/>
  </sheetPr>
  <dimension ref="A1:S27"/>
  <sheetViews>
    <sheetView zoomScale="80" zoomScaleNormal="80" workbookViewId="0">
      <pane ySplit="5" topLeftCell="A6" activePane="bottomLeft" state="frozen"/>
      <selection pane="bottomLeft" activeCell="E22" sqref="E22"/>
    </sheetView>
  </sheetViews>
  <sheetFormatPr defaultColWidth="11.42578125" defaultRowHeight="15" customHeight="1"/>
  <cols>
    <col min="1" max="1" width="50" style="3" customWidth="1"/>
    <col min="2" max="2" width="2.42578125" style="3" customWidth="1"/>
    <col min="3" max="3" width="25.7109375" style="3" customWidth="1"/>
    <col min="4" max="4" width="1.7109375" style="3" customWidth="1"/>
    <col min="5" max="5" width="25.7109375" style="3" customWidth="1"/>
    <col min="6" max="6" width="1.7109375" style="3" customWidth="1"/>
    <col min="7" max="7" width="25.7109375" style="3" customWidth="1"/>
    <col min="8" max="8" width="1.7109375" style="3" customWidth="1"/>
    <col min="9" max="9" width="25.7109375" style="3" customWidth="1"/>
    <col min="10" max="10" width="1.7109375" style="3" customWidth="1"/>
    <col min="11" max="11" width="26.28515625" style="3" customWidth="1"/>
    <col min="12" max="12" width="1.7109375" style="3" customWidth="1"/>
    <col min="13" max="13" width="26.28515625" style="3" customWidth="1"/>
    <col min="14" max="14" width="7.42578125" style="3" customWidth="1"/>
    <col min="15" max="15" width="11" style="101" customWidth="1"/>
    <col min="16" max="16" width="37.140625" style="102" customWidth="1"/>
    <col min="17" max="17" width="21.140625" customWidth="1"/>
    <col min="18" max="18" width="1.42578125" style="103" customWidth="1"/>
    <col min="19" max="19" width="22.5703125" style="102" customWidth="1"/>
    <col min="20" max="16384" width="11.42578125" style="3"/>
  </cols>
  <sheetData>
    <row r="1" spans="1:19" ht="18" customHeight="1">
      <c r="A1" s="15"/>
      <c r="B1" s="15"/>
      <c r="C1" s="17"/>
      <c r="D1" s="17"/>
      <c r="E1" s="15"/>
      <c r="F1" s="253"/>
      <c r="G1" s="253"/>
      <c r="H1" s="253"/>
      <c r="I1" s="253"/>
      <c r="J1" s="17"/>
      <c r="K1" s="17"/>
      <c r="L1" s="17"/>
      <c r="M1" s="17"/>
    </row>
    <row r="2" spans="1:19" ht="15" customHeight="1">
      <c r="A2" s="15"/>
      <c r="B2" s="17"/>
      <c r="C2" s="17"/>
      <c r="D2" s="17"/>
      <c r="E2" s="15"/>
      <c r="F2" s="253"/>
      <c r="G2" s="253"/>
      <c r="H2" s="253"/>
      <c r="I2" s="253"/>
      <c r="J2" s="17"/>
      <c r="K2" s="17"/>
      <c r="L2" s="17"/>
      <c r="M2" s="17"/>
    </row>
    <row r="3" spans="1:19" ht="15" customHeight="1">
      <c r="A3" s="15"/>
      <c r="B3" s="17"/>
      <c r="C3" s="17"/>
      <c r="D3" s="17"/>
      <c r="E3" s="16" t="s">
        <v>4</v>
      </c>
      <c r="F3" s="253"/>
      <c r="G3" s="253"/>
      <c r="H3" s="253"/>
      <c r="I3" s="253"/>
      <c r="J3" s="17"/>
      <c r="K3" s="17"/>
      <c r="L3" s="17"/>
      <c r="M3" s="17"/>
    </row>
    <row r="4" spans="1:19" ht="15" customHeight="1">
      <c r="A4" s="15"/>
      <c r="B4" s="17"/>
      <c r="C4" s="17"/>
      <c r="D4" s="17"/>
      <c r="E4" s="15"/>
      <c r="F4" s="253"/>
      <c r="G4" s="253"/>
      <c r="H4" s="253"/>
      <c r="I4" s="253"/>
      <c r="J4" s="17"/>
      <c r="K4" s="17"/>
      <c r="L4" s="17"/>
      <c r="M4" s="17"/>
    </row>
    <row r="5" spans="1:19" ht="15" customHeight="1">
      <c r="A5" s="15"/>
      <c r="B5" s="15"/>
      <c r="C5" s="17"/>
      <c r="D5" s="17"/>
      <c r="E5" s="15"/>
      <c r="F5" s="253"/>
      <c r="G5" s="253"/>
      <c r="H5" s="253"/>
      <c r="I5" s="253"/>
      <c r="J5" s="17"/>
      <c r="K5" s="17"/>
      <c r="L5" s="17"/>
      <c r="M5" s="17"/>
    </row>
    <row r="6" spans="1:19" ht="15" customHeight="1">
      <c r="C6" s="100"/>
      <c r="G6" s="14"/>
      <c r="H6" s="14"/>
      <c r="I6" s="14"/>
    </row>
    <row r="7" spans="1:19" ht="15" customHeight="1">
      <c r="A7" s="86" t="s">
        <v>78</v>
      </c>
      <c r="C7" s="100">
        <f>'Post Completion'!C40</f>
        <v>10000</v>
      </c>
      <c r="G7" s="14"/>
      <c r="H7" s="14"/>
      <c r="I7" s="14"/>
    </row>
    <row r="8" spans="1:19" ht="15" customHeight="1">
      <c r="A8" s="86" t="s">
        <v>79</v>
      </c>
      <c r="C8" s="100">
        <f>C22</f>
        <v>7500</v>
      </c>
      <c r="G8" s="14"/>
      <c r="H8" s="14"/>
      <c r="I8" s="14"/>
      <c r="O8" s="3"/>
      <c r="P8" s="3"/>
      <c r="Q8" s="3"/>
      <c r="R8" s="3"/>
      <c r="S8" s="3"/>
    </row>
    <row r="9" spans="1:19" ht="15" customHeight="1">
      <c r="A9" s="86" t="s">
        <v>80</v>
      </c>
      <c r="C9" s="100">
        <f>'Post Completion'!C38</f>
        <v>2500</v>
      </c>
      <c r="G9" s="14"/>
      <c r="H9" s="14"/>
      <c r="I9" s="14"/>
      <c r="O9" s="3"/>
      <c r="P9" s="3"/>
      <c r="Q9" s="3"/>
      <c r="R9" s="3"/>
      <c r="S9" s="3"/>
    </row>
    <row r="10" spans="1:19" ht="15" customHeight="1">
      <c r="A10" s="86" t="s">
        <v>81</v>
      </c>
      <c r="C10" s="97">
        <f>Subscriptions!C36</f>
        <v>0.1</v>
      </c>
      <c r="G10" s="14"/>
      <c r="H10" s="14"/>
      <c r="I10" s="14"/>
      <c r="O10" s="3"/>
      <c r="P10" s="3"/>
      <c r="Q10" s="3"/>
      <c r="R10" s="3"/>
      <c r="S10" s="3"/>
    </row>
    <row r="11" spans="1:19" ht="15" customHeight="1">
      <c r="G11" s="14"/>
      <c r="H11" s="14"/>
      <c r="I11" s="14"/>
      <c r="O11" s="3"/>
      <c r="P11" s="3"/>
      <c r="Q11" s="3"/>
      <c r="R11" s="3"/>
      <c r="S11" s="3"/>
    </row>
    <row r="12" spans="1:19" ht="15" customHeight="1">
      <c r="A12" s="257" t="s">
        <v>83</v>
      </c>
      <c r="C12" s="258" t="s">
        <v>109</v>
      </c>
      <c r="D12" s="35"/>
      <c r="E12" s="256" t="s">
        <v>82</v>
      </c>
      <c r="F12" s="35"/>
      <c r="G12" s="256" t="s">
        <v>84</v>
      </c>
      <c r="H12" s="14"/>
      <c r="I12" s="256" t="s">
        <v>85</v>
      </c>
      <c r="K12" s="256" t="s">
        <v>91</v>
      </c>
      <c r="M12" s="256" t="s">
        <v>110</v>
      </c>
      <c r="O12" s="3"/>
      <c r="P12" s="3"/>
      <c r="Q12" s="3"/>
      <c r="R12" s="3"/>
      <c r="S12" s="3"/>
    </row>
    <row r="13" spans="1:19" ht="15" customHeight="1">
      <c r="A13" s="257"/>
      <c r="C13" s="258"/>
      <c r="D13" s="18"/>
      <c r="E13" s="256"/>
      <c r="F13" s="18"/>
      <c r="G13" s="256"/>
      <c r="H13" s="14"/>
      <c r="I13" s="256"/>
      <c r="K13" s="256"/>
      <c r="M13" s="256"/>
      <c r="O13" s="3"/>
      <c r="P13" s="3"/>
      <c r="Q13" s="3"/>
      <c r="R13" s="3"/>
      <c r="S13" s="3"/>
    </row>
    <row r="14" spans="1:19" ht="15" customHeight="1">
      <c r="G14" s="14"/>
      <c r="H14" s="14"/>
      <c r="I14" s="38"/>
      <c r="O14" s="3"/>
      <c r="P14" s="3"/>
      <c r="Q14" s="3"/>
      <c r="R14" s="3"/>
      <c r="S14" s="3"/>
    </row>
    <row r="15" spans="1:19" ht="15" customHeight="1">
      <c r="A15" s="3" t="str">
        <f>'Current Capitalisation (DATE)'!A11</f>
        <v>[Founder 1]</v>
      </c>
      <c r="C15" s="3">
        <v>12500</v>
      </c>
      <c r="E15" s="111">
        <v>0</v>
      </c>
      <c r="G15" s="98" t="s">
        <v>89</v>
      </c>
      <c r="H15" s="86"/>
      <c r="I15" s="99" t="s">
        <v>90</v>
      </c>
      <c r="K15" s="105" t="s">
        <v>92</v>
      </c>
      <c r="M15" s="98" t="s">
        <v>93</v>
      </c>
      <c r="O15" s="3"/>
      <c r="P15" s="3"/>
      <c r="Q15" s="3"/>
      <c r="R15" s="3"/>
      <c r="S15" s="3"/>
    </row>
    <row r="16" spans="1:19" ht="15" customHeight="1">
      <c r="A16" s="3" t="str">
        <f>'Current Capitalisation (DATE)'!A12</f>
        <v>[Founder 2]</v>
      </c>
      <c r="C16" s="3">
        <v>12500</v>
      </c>
      <c r="E16" s="111">
        <v>0</v>
      </c>
      <c r="G16" s="98" t="s">
        <v>89</v>
      </c>
      <c r="H16" s="86"/>
      <c r="I16" s="99" t="s">
        <v>90</v>
      </c>
      <c r="K16" s="105" t="s">
        <v>92</v>
      </c>
      <c r="M16" s="98" t="s">
        <v>93</v>
      </c>
      <c r="O16" s="3"/>
      <c r="P16" s="3"/>
      <c r="Q16" s="3"/>
      <c r="R16" s="3"/>
      <c r="S16" s="3"/>
    </row>
    <row r="17" spans="1:19" ht="15" customHeight="1">
      <c r="E17" s="111"/>
      <c r="G17" s="14"/>
      <c r="H17" s="14"/>
      <c r="I17" s="38"/>
      <c r="O17" s="3"/>
      <c r="P17" s="3"/>
      <c r="Q17" s="3"/>
      <c r="R17" s="3"/>
      <c r="S17" s="3"/>
    </row>
    <row r="18" spans="1:19" ht="15" customHeight="1">
      <c r="A18" s="1" t="s">
        <v>86</v>
      </c>
      <c r="C18" s="100">
        <v>2500</v>
      </c>
      <c r="E18" s="111">
        <v>120</v>
      </c>
      <c r="G18" s="98" t="s">
        <v>89</v>
      </c>
      <c r="H18" s="86"/>
      <c r="I18" s="99" t="s">
        <v>90</v>
      </c>
      <c r="K18" s="105" t="s">
        <v>92</v>
      </c>
      <c r="M18" s="98" t="s">
        <v>93</v>
      </c>
      <c r="O18" s="3"/>
      <c r="P18" s="3"/>
      <c r="Q18" s="3"/>
      <c r="R18" s="3"/>
      <c r="S18" s="3"/>
    </row>
    <row r="19" spans="1:19" ht="15" customHeight="1">
      <c r="A19" s="1" t="s">
        <v>87</v>
      </c>
      <c r="C19" s="100">
        <v>2500</v>
      </c>
      <c r="E19" s="111">
        <v>120</v>
      </c>
      <c r="G19" s="98" t="s">
        <v>89</v>
      </c>
      <c r="H19" s="86"/>
      <c r="I19" s="99" t="s">
        <v>90</v>
      </c>
      <c r="K19" s="105" t="s">
        <v>92</v>
      </c>
      <c r="M19" s="98" t="s">
        <v>93</v>
      </c>
      <c r="O19" s="3"/>
      <c r="P19" s="3"/>
      <c r="Q19" s="3"/>
      <c r="R19" s="3"/>
      <c r="S19" s="3"/>
    </row>
    <row r="20" spans="1:19" ht="15" customHeight="1">
      <c r="A20" s="1" t="s">
        <v>88</v>
      </c>
      <c r="C20" s="100">
        <v>2500</v>
      </c>
      <c r="E20" s="111">
        <v>120</v>
      </c>
      <c r="G20" s="98" t="s">
        <v>89</v>
      </c>
      <c r="H20" s="86"/>
      <c r="I20" s="99" t="s">
        <v>90</v>
      </c>
      <c r="K20" s="105" t="s">
        <v>92</v>
      </c>
      <c r="M20" s="98" t="s">
        <v>93</v>
      </c>
      <c r="O20" s="3"/>
      <c r="P20" s="3"/>
      <c r="Q20" s="3"/>
      <c r="R20" s="3"/>
      <c r="S20" s="3"/>
    </row>
    <row r="21" spans="1:19" ht="15" customHeight="1">
      <c r="A21" s="34"/>
      <c r="C21" s="100"/>
      <c r="E21" s="111"/>
      <c r="G21" s="37"/>
      <c r="I21" s="38"/>
      <c r="O21" s="3"/>
      <c r="P21" s="3"/>
      <c r="Q21" s="3"/>
      <c r="R21" s="3"/>
      <c r="S21" s="3"/>
    </row>
    <row r="22" spans="1:19" ht="15" customHeight="1" thickBot="1">
      <c r="A22" s="72" t="s">
        <v>8</v>
      </c>
      <c r="B22" s="44"/>
      <c r="C22" s="131">
        <f>SUM(C18:C20)</f>
        <v>7500</v>
      </c>
      <c r="D22" s="44"/>
      <c r="E22" s="77"/>
      <c r="F22" s="44"/>
      <c r="G22" s="73"/>
      <c r="H22" s="44"/>
      <c r="I22" s="77"/>
      <c r="J22" s="42"/>
      <c r="K22" s="77"/>
      <c r="L22" s="42"/>
      <c r="M22" s="77"/>
      <c r="O22" s="3"/>
      <c r="P22" s="3"/>
      <c r="Q22" s="3"/>
      <c r="R22" s="3"/>
      <c r="S22" s="3"/>
    </row>
    <row r="23" spans="1:19" ht="15" customHeight="1">
      <c r="G23" s="42"/>
      <c r="O23" s="3"/>
      <c r="P23" s="3"/>
      <c r="Q23" s="3"/>
      <c r="R23" s="3"/>
      <c r="S23" s="3"/>
    </row>
    <row r="24" spans="1:19" ht="15" customHeight="1">
      <c r="A24" s="257" t="s">
        <v>124</v>
      </c>
      <c r="B24" s="102"/>
      <c r="C24" s="258" t="s">
        <v>125</v>
      </c>
      <c r="D24" s="103"/>
      <c r="E24" s="258" t="s">
        <v>105</v>
      </c>
      <c r="F24" s="35"/>
      <c r="G24" s="256" t="s">
        <v>84</v>
      </c>
      <c r="H24" s="14"/>
      <c r="I24" s="256" t="s">
        <v>85</v>
      </c>
      <c r="J24" s="108"/>
      <c r="K24" s="256" t="s">
        <v>91</v>
      </c>
      <c r="L24" s="108"/>
      <c r="M24" s="256" t="s">
        <v>126</v>
      </c>
    </row>
    <row r="25" spans="1:19" ht="15" customHeight="1">
      <c r="A25" s="257"/>
      <c r="B25" s="102"/>
      <c r="C25" s="258"/>
      <c r="D25" s="103"/>
      <c r="E25" s="258"/>
      <c r="F25" s="18"/>
      <c r="G25" s="256"/>
      <c r="H25" s="14"/>
      <c r="I25" s="256"/>
      <c r="J25" s="108"/>
      <c r="K25" s="256"/>
      <c r="L25" s="108"/>
      <c r="M25" s="256"/>
    </row>
    <row r="26" spans="1:19" ht="15" customHeight="1">
      <c r="A26" s="108" t="s">
        <v>71</v>
      </c>
      <c r="B26" s="108"/>
      <c r="C26" s="132">
        <v>1</v>
      </c>
      <c r="D26" s="108"/>
      <c r="E26" s="19">
        <v>12500</v>
      </c>
      <c r="F26" s="108"/>
      <c r="G26" s="133" t="s">
        <v>89</v>
      </c>
      <c r="H26" s="108"/>
      <c r="I26" s="134" t="s">
        <v>90</v>
      </c>
      <c r="J26" s="108"/>
      <c r="K26" s="105" t="s">
        <v>92</v>
      </c>
      <c r="L26" s="108"/>
      <c r="M26" s="133" t="s">
        <v>93</v>
      </c>
    </row>
    <row r="27" spans="1:19" ht="15" customHeight="1">
      <c r="A27" s="108" t="s">
        <v>72</v>
      </c>
      <c r="B27" s="108"/>
      <c r="C27" s="132">
        <v>1</v>
      </c>
      <c r="D27" s="108"/>
      <c r="E27" s="19">
        <v>12500</v>
      </c>
      <c r="F27" s="108"/>
      <c r="G27" s="133" t="s">
        <v>89</v>
      </c>
      <c r="H27" s="108"/>
      <c r="I27" s="134" t="s">
        <v>90</v>
      </c>
      <c r="J27" s="108"/>
      <c r="K27" s="105" t="s">
        <v>92</v>
      </c>
      <c r="L27" s="108"/>
      <c r="M27" s="133" t="s">
        <v>93</v>
      </c>
    </row>
  </sheetData>
  <mergeCells count="15">
    <mergeCell ref="K24:K25"/>
    <mergeCell ref="M24:M25"/>
    <mergeCell ref="A24:A25"/>
    <mergeCell ref="C24:C25"/>
    <mergeCell ref="E24:E25"/>
    <mergeCell ref="G24:G25"/>
    <mergeCell ref="I24:I25"/>
    <mergeCell ref="K12:K13"/>
    <mergeCell ref="M12:M13"/>
    <mergeCell ref="F1:I5"/>
    <mergeCell ref="A12:A13"/>
    <mergeCell ref="C12:C13"/>
    <mergeCell ref="E12:E13"/>
    <mergeCell ref="G12:G13"/>
    <mergeCell ref="I12:I13"/>
  </mergeCells>
  <pageMargins left="0.7" right="0.7" top="0.78740157499999996" bottom="0.78740157499999996" header="0.3" footer="0.3"/>
  <pageSetup paperSize="8"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7B9E3-7AA7-4994-B3C8-F21D3F2003BA}">
  <sheetPr codeName="Sheet3">
    <tabColor rgb="FF003145"/>
    <pageSetUpPr fitToPage="1"/>
  </sheetPr>
  <dimension ref="A1:L48"/>
  <sheetViews>
    <sheetView zoomScale="80" zoomScaleNormal="80" workbookViewId="0">
      <pane ySplit="5" topLeftCell="A6" activePane="bottomLeft" state="frozen"/>
      <selection pane="bottomLeft" activeCell="A23" sqref="A23"/>
    </sheetView>
  </sheetViews>
  <sheetFormatPr defaultColWidth="11.42578125" defaultRowHeight="15" customHeight="1"/>
  <cols>
    <col min="1" max="1" width="50" style="3" customWidth="1"/>
    <col min="2" max="2" width="2.42578125" style="3" customWidth="1"/>
    <col min="3" max="3" width="25.7109375" style="3" customWidth="1"/>
    <col min="4" max="4" width="1.7109375" style="3" customWidth="1"/>
    <col min="5" max="5" width="25.7109375" style="3" customWidth="1"/>
    <col min="6" max="6" width="1.7109375" style="3" customWidth="1"/>
    <col min="7" max="7" width="25.7109375" style="3" customWidth="1"/>
    <col min="8" max="8" width="1.7109375" style="3" customWidth="1"/>
    <col min="9" max="9" width="25.7109375" style="3" customWidth="1"/>
    <col min="10" max="10" width="1.7109375" style="3" customWidth="1"/>
    <col min="11" max="11" width="26.28515625" style="3" customWidth="1"/>
    <col min="12" max="12" width="15.7109375" style="3" customWidth="1"/>
    <col min="13" max="16384" width="11.42578125" style="3"/>
  </cols>
  <sheetData>
    <row r="1" spans="1:11" ht="18" customHeight="1">
      <c r="A1" s="15"/>
      <c r="B1" s="15"/>
      <c r="C1" s="17"/>
      <c r="D1" s="17"/>
      <c r="E1" s="15"/>
      <c r="F1" s="253"/>
      <c r="G1" s="253"/>
      <c r="H1" s="253"/>
      <c r="I1" s="253"/>
      <c r="J1" s="17"/>
      <c r="K1" s="17"/>
    </row>
    <row r="2" spans="1:11" ht="15" customHeight="1">
      <c r="A2" s="15"/>
      <c r="B2" s="17"/>
      <c r="C2" s="17"/>
      <c r="D2" s="17"/>
      <c r="E2" s="15"/>
      <c r="F2" s="253"/>
      <c r="G2" s="253"/>
      <c r="H2" s="253"/>
      <c r="I2" s="253"/>
      <c r="J2" s="17"/>
      <c r="K2" s="17"/>
    </row>
    <row r="3" spans="1:11" ht="15" customHeight="1">
      <c r="A3" s="15"/>
      <c r="B3" s="17"/>
      <c r="C3" s="17"/>
      <c r="D3" s="17"/>
      <c r="E3" s="16" t="s">
        <v>4</v>
      </c>
      <c r="F3" s="253"/>
      <c r="G3" s="253"/>
      <c r="H3" s="253"/>
      <c r="I3" s="253"/>
      <c r="J3" s="17"/>
      <c r="K3" s="17"/>
    </row>
    <row r="4" spans="1:11" ht="15" customHeight="1">
      <c r="A4" s="15"/>
      <c r="B4" s="17"/>
      <c r="C4" s="17"/>
      <c r="D4" s="17"/>
      <c r="E4" s="15"/>
      <c r="F4" s="253"/>
      <c r="G4" s="253"/>
      <c r="H4" s="253"/>
      <c r="I4" s="253"/>
      <c r="J4" s="17"/>
      <c r="K4" s="17"/>
    </row>
    <row r="5" spans="1:11" ht="15" customHeight="1">
      <c r="A5" s="15"/>
      <c r="B5" s="15"/>
      <c r="C5" s="17"/>
      <c r="D5" s="17"/>
      <c r="E5" s="15"/>
      <c r="F5" s="253"/>
      <c r="G5" s="253"/>
      <c r="H5" s="253"/>
      <c r="I5" s="253"/>
      <c r="J5" s="17"/>
      <c r="K5" s="17"/>
    </row>
    <row r="6" spans="1:11" ht="15" customHeight="1">
      <c r="G6" s="14"/>
      <c r="H6" s="14"/>
      <c r="I6" s="14"/>
    </row>
    <row r="7" spans="1:11" ht="15" customHeight="1">
      <c r="A7" s="86" t="s">
        <v>64</v>
      </c>
      <c r="C7" s="111">
        <v>40000000</v>
      </c>
      <c r="G7" s="14"/>
      <c r="H7" s="14"/>
      <c r="I7" s="14"/>
    </row>
    <row r="8" spans="1:11" ht="15" customHeight="1">
      <c r="A8" s="76" t="s">
        <v>51</v>
      </c>
      <c r="C8" s="111">
        <f>C31</f>
        <v>7500000</v>
      </c>
      <c r="G8" s="14"/>
      <c r="H8" s="14"/>
      <c r="I8" s="14"/>
    </row>
    <row r="9" spans="1:11" ht="15" customHeight="1">
      <c r="A9" s="86" t="s">
        <v>65</v>
      </c>
      <c r="C9" s="111">
        <f ca="1">E31</f>
        <v>7498888.2000000011</v>
      </c>
      <c r="G9" s="14"/>
      <c r="H9" s="14"/>
      <c r="I9" s="14"/>
    </row>
    <row r="10" spans="1:11" ht="15" customHeight="1">
      <c r="A10" s="86" t="s">
        <v>63</v>
      </c>
      <c r="C10" s="111">
        <f ca="1">C7+E31</f>
        <v>47498888.200000003</v>
      </c>
      <c r="G10" s="14"/>
      <c r="H10" s="14"/>
      <c r="I10" s="14"/>
    </row>
    <row r="11" spans="1:11" ht="15" customHeight="1">
      <c r="A11" s="3" t="s">
        <v>11</v>
      </c>
      <c r="C11" s="111">
        <f ca="1">'Current Capitalisation (DATE)'!M28+'CLA Conversion'!M28</f>
        <v>125550</v>
      </c>
      <c r="E11" s="91" t="s">
        <v>100</v>
      </c>
      <c r="G11" s="14"/>
      <c r="H11" s="14"/>
      <c r="I11" s="14"/>
    </row>
    <row r="12" spans="1:11" ht="15" customHeight="1">
      <c r="A12" s="76" t="s">
        <v>52</v>
      </c>
      <c r="C12" s="111">
        <f ca="1">ROUND(C7/C11,2)</f>
        <v>318.60000000000002</v>
      </c>
      <c r="G12" s="14"/>
      <c r="H12" s="14"/>
      <c r="I12" s="14"/>
    </row>
    <row r="13" spans="1:11" ht="15" customHeight="1">
      <c r="A13" s="76" t="s">
        <v>53</v>
      </c>
      <c r="C13" s="111">
        <v>1</v>
      </c>
      <c r="G13" s="14"/>
      <c r="H13" s="14"/>
      <c r="I13" s="14"/>
    </row>
    <row r="14" spans="1:11" ht="15" customHeight="1">
      <c r="G14" s="14"/>
      <c r="H14" s="14"/>
      <c r="I14" s="40"/>
      <c r="J14" s="41"/>
      <c r="K14" s="41"/>
    </row>
    <row r="15" spans="1:11" ht="15" customHeight="1">
      <c r="A15" s="257" t="s">
        <v>0</v>
      </c>
      <c r="C15" s="36" t="s">
        <v>18</v>
      </c>
      <c r="D15" s="35"/>
      <c r="E15" s="36" t="s">
        <v>19</v>
      </c>
      <c r="F15" s="35"/>
      <c r="G15" s="36" t="s">
        <v>45</v>
      </c>
      <c r="H15" s="14"/>
      <c r="I15" s="40"/>
      <c r="J15" s="41"/>
      <c r="K15" s="41"/>
    </row>
    <row r="16" spans="1:11" ht="15" customHeight="1">
      <c r="A16" s="257"/>
      <c r="C16" s="36"/>
      <c r="D16" s="18"/>
      <c r="E16" s="36"/>
      <c r="F16" s="18"/>
      <c r="G16" s="36" t="s">
        <v>6</v>
      </c>
      <c r="H16" s="14"/>
      <c r="I16" s="40"/>
      <c r="J16" s="41"/>
      <c r="K16" s="41"/>
    </row>
    <row r="17" spans="1:12" ht="15" customHeight="1">
      <c r="G17" s="14"/>
      <c r="H17" s="14"/>
      <c r="I17" s="40"/>
      <c r="J17" s="41"/>
      <c r="K17" s="41"/>
    </row>
    <row r="18" spans="1:12" ht="15" customHeight="1">
      <c r="A18" s="21" t="s">
        <v>12</v>
      </c>
      <c r="G18" s="14"/>
      <c r="H18" s="14"/>
      <c r="I18" s="40"/>
      <c r="J18" s="41"/>
      <c r="K18" s="41"/>
    </row>
    <row r="19" spans="1:12" ht="15" customHeight="1">
      <c r="A19" s="1" t="s">
        <v>39</v>
      </c>
      <c r="C19" s="111">
        <v>2000000</v>
      </c>
      <c r="D19" s="111"/>
      <c r="E19" s="111">
        <f ca="1">(G19*$C$12)</f>
        <v>1999852.2000000002</v>
      </c>
      <c r="G19" s="19">
        <f ca="1">ROUNDDOWN(C19/$C$12,0)</f>
        <v>6277</v>
      </c>
      <c r="I19" s="40"/>
      <c r="J19" s="41"/>
      <c r="K19" s="41"/>
      <c r="L19" s="29"/>
    </row>
    <row r="20" spans="1:12" ht="15" customHeight="1">
      <c r="A20" s="1" t="s">
        <v>40</v>
      </c>
      <c r="C20" s="111">
        <v>2000000</v>
      </c>
      <c r="D20" s="111"/>
      <c r="E20" s="111">
        <f ca="1">(G20*$C$12)</f>
        <v>1999852.2000000002</v>
      </c>
      <c r="G20" s="88">
        <f ca="1">ROUNDDOWN(C20/$C$12,0)</f>
        <v>6277</v>
      </c>
      <c r="I20" s="40"/>
      <c r="J20" s="41"/>
      <c r="K20" s="41"/>
      <c r="L20" s="29"/>
    </row>
    <row r="21" spans="1:12" ht="15" customHeight="1">
      <c r="A21" s="1" t="s">
        <v>41</v>
      </c>
      <c r="C21" s="111">
        <v>1000000</v>
      </c>
      <c r="D21" s="111"/>
      <c r="E21" s="111">
        <f t="shared" ref="E21:E22" ca="1" si="0">(G21*$C$12)</f>
        <v>999766.8</v>
      </c>
      <c r="G21" s="88">
        <f ca="1">ROUNDDOWN(C21/$C$12,0)</f>
        <v>3138</v>
      </c>
      <c r="I21" s="40"/>
      <c r="J21" s="41"/>
      <c r="K21" s="41"/>
      <c r="L21" s="29"/>
    </row>
    <row r="22" spans="1:12" ht="15" customHeight="1">
      <c r="A22" s="1" t="s">
        <v>42</v>
      </c>
      <c r="C22" s="111">
        <v>500000</v>
      </c>
      <c r="D22" s="111"/>
      <c r="E22" s="111">
        <f t="shared" ca="1" si="0"/>
        <v>499883.4</v>
      </c>
      <c r="G22" s="88">
        <f ca="1">ROUNDDOWN(C22/$C$12,0)</f>
        <v>1569</v>
      </c>
      <c r="I22" s="40"/>
      <c r="J22" s="41"/>
      <c r="K22" s="41"/>
      <c r="L22" s="29"/>
    </row>
    <row r="23" spans="1:12" ht="15" customHeight="1">
      <c r="A23" s="34" t="s">
        <v>13</v>
      </c>
      <c r="C23" s="112">
        <f>SUM(C19:C22)</f>
        <v>5500000</v>
      </c>
      <c r="D23" s="113"/>
      <c r="E23" s="112">
        <f ca="1">SUM(E19:E22)</f>
        <v>5499354.6000000006</v>
      </c>
      <c r="F23" s="14"/>
      <c r="G23" s="69">
        <f ca="1">SUM(G19:G22)</f>
        <v>17261</v>
      </c>
      <c r="H23" s="14"/>
      <c r="I23" s="40"/>
      <c r="J23" s="41"/>
      <c r="K23" s="41"/>
      <c r="L23" s="29"/>
    </row>
    <row r="24" spans="1:12" ht="15" customHeight="1">
      <c r="A24" s="33"/>
      <c r="C24" s="111"/>
      <c r="D24" s="111"/>
      <c r="E24" s="111"/>
      <c r="G24" s="37"/>
      <c r="I24" s="40"/>
      <c r="J24" s="41"/>
      <c r="K24" s="41"/>
    </row>
    <row r="25" spans="1:12" ht="14.25" customHeight="1">
      <c r="A25" s="21" t="s">
        <v>14</v>
      </c>
      <c r="C25" s="111"/>
      <c r="D25" s="111"/>
      <c r="E25" s="111"/>
      <c r="G25" s="37"/>
      <c r="I25" s="40"/>
      <c r="J25" s="41"/>
      <c r="K25" s="41"/>
    </row>
    <row r="26" spans="1:12" ht="15" customHeight="1">
      <c r="A26" s="1" t="s">
        <v>43</v>
      </c>
      <c r="B26" s="25"/>
      <c r="C26" s="111">
        <v>1000000</v>
      </c>
      <c r="D26" s="111"/>
      <c r="E26" s="111">
        <f ca="1">(G26*$C$12)</f>
        <v>999766.8</v>
      </c>
      <c r="G26" s="19">
        <f ca="1">ROUNDDOWN(C26/$C$12,0)</f>
        <v>3138</v>
      </c>
      <c r="I26" s="40"/>
      <c r="J26" s="41"/>
      <c r="K26" s="41"/>
    </row>
    <row r="27" spans="1:12" ht="15" customHeight="1">
      <c r="A27" s="1" t="s">
        <v>44</v>
      </c>
      <c r="B27" s="25"/>
      <c r="C27" s="111">
        <v>1000000</v>
      </c>
      <c r="D27" s="111"/>
      <c r="E27" s="111">
        <f ca="1">(G27*$C$12)</f>
        <v>999766.8</v>
      </c>
      <c r="G27" s="19">
        <f ca="1">ROUNDDOWN(C27/$C$12,0)</f>
        <v>3138</v>
      </c>
      <c r="I27" s="40"/>
      <c r="J27" s="41"/>
      <c r="K27" s="41"/>
    </row>
    <row r="28" spans="1:12" ht="15" customHeight="1">
      <c r="A28" s="34" t="s">
        <v>13</v>
      </c>
      <c r="B28" s="13"/>
      <c r="C28" s="112">
        <f>SUM(C26:C27)</f>
        <v>2000000</v>
      </c>
      <c r="D28" s="114"/>
      <c r="E28" s="112">
        <f ca="1">SUM(E26:E27)</f>
        <v>1999533.6</v>
      </c>
      <c r="F28" s="13"/>
      <c r="G28" s="127">
        <f ca="1">SUM(G26:G27)</f>
        <v>6276</v>
      </c>
      <c r="I28" s="40"/>
      <c r="J28" s="41"/>
      <c r="K28" s="41"/>
    </row>
    <row r="29" spans="1:12" ht="15" customHeight="1">
      <c r="C29" s="111"/>
      <c r="D29" s="111"/>
      <c r="E29" s="111"/>
      <c r="G29" s="37"/>
      <c r="I29" s="40"/>
      <c r="J29" s="41"/>
      <c r="K29" s="41"/>
    </row>
    <row r="30" spans="1:12" ht="15" customHeight="1">
      <c r="A30" s="34"/>
      <c r="C30" s="111"/>
      <c r="D30" s="111"/>
      <c r="E30" s="111"/>
      <c r="G30" s="37"/>
      <c r="I30" s="40"/>
      <c r="J30" s="41"/>
      <c r="K30" s="41"/>
    </row>
    <row r="31" spans="1:12" ht="15" customHeight="1" thickBot="1">
      <c r="A31" s="72" t="s">
        <v>8</v>
      </c>
      <c r="B31" s="44"/>
      <c r="C31" s="115">
        <f>C23+C28</f>
        <v>7500000</v>
      </c>
      <c r="D31" s="116"/>
      <c r="E31" s="115">
        <f ca="1">E23+E28</f>
        <v>7498888.2000000011</v>
      </c>
      <c r="F31" s="44"/>
      <c r="G31" s="73">
        <f ca="1">G23+G28</f>
        <v>23537</v>
      </c>
      <c r="H31" s="44"/>
      <c r="I31" s="40"/>
      <c r="J31" s="41"/>
      <c r="K31" s="41"/>
    </row>
    <row r="32" spans="1:12" ht="15" customHeight="1">
      <c r="C32" s="111"/>
      <c r="D32" s="111"/>
      <c r="E32" s="111"/>
      <c r="G32" s="42"/>
      <c r="I32" s="40"/>
      <c r="J32" s="41"/>
      <c r="K32" s="41"/>
    </row>
    <row r="33" spans="1:11" ht="15" customHeight="1">
      <c r="I33" s="40"/>
      <c r="J33" s="41"/>
      <c r="K33" s="41"/>
    </row>
    <row r="34" spans="1:11" ht="15" customHeight="1">
      <c r="A34" s="80" t="s">
        <v>20</v>
      </c>
      <c r="B34" s="78"/>
      <c r="C34" s="81"/>
      <c r="I34" s="41"/>
      <c r="J34" s="41"/>
      <c r="K34" s="41"/>
    </row>
    <row r="35" spans="1:11" ht="15" customHeight="1">
      <c r="A35" s="46"/>
      <c r="C35" s="47"/>
    </row>
    <row r="36" spans="1:11" ht="15" customHeight="1">
      <c r="A36" s="70" t="s">
        <v>46</v>
      </c>
      <c r="C36" s="71">
        <v>0.1</v>
      </c>
    </row>
    <row r="37" spans="1:11" ht="15" customHeight="1">
      <c r="A37" s="46" t="s">
        <v>15</v>
      </c>
      <c r="C37" s="48">
        <f ca="1">'Post Completion'!N40</f>
        <v>150621</v>
      </c>
    </row>
    <row r="38" spans="1:11" ht="15" customHeight="1">
      <c r="A38" s="106" t="s">
        <v>95</v>
      </c>
      <c r="C38" s="48">
        <f ca="1">ROUNDDOWN(C36*C37,0)</f>
        <v>15062</v>
      </c>
      <c r="E38" s="91" t="s">
        <v>96</v>
      </c>
    </row>
    <row r="39" spans="1:11" ht="15" customHeight="1">
      <c r="A39" s="75" t="s">
        <v>50</v>
      </c>
      <c r="C39" s="129">
        <f>'Current Capitalisation (DATE)'!C28</f>
        <v>10000</v>
      </c>
    </row>
    <row r="40" spans="1:11" ht="15" customHeight="1">
      <c r="A40" s="46" t="s">
        <v>16</v>
      </c>
      <c r="C40" s="129">
        <f>'Current Capitalisation (DATE)'!$C$26</f>
        <v>2500</v>
      </c>
    </row>
    <row r="41" spans="1:11" ht="15" customHeight="1">
      <c r="A41" s="46" t="s">
        <v>21</v>
      </c>
      <c r="C41" s="129">
        <f>C39-C40</f>
        <v>7500</v>
      </c>
    </row>
    <row r="42" spans="1:11" ht="15" customHeight="1">
      <c r="A42" s="46"/>
      <c r="C42" s="47"/>
    </row>
    <row r="43" spans="1:11" ht="15" customHeight="1" thickBot="1">
      <c r="A43" s="82" t="s">
        <v>17</v>
      </c>
      <c r="B43" s="79"/>
      <c r="C43" s="130">
        <f ca="1">C38-C39</f>
        <v>5062</v>
      </c>
    </row>
    <row r="46" spans="1:11" ht="15" customHeight="1">
      <c r="A46" s="108"/>
    </row>
    <row r="48" spans="1:11" ht="15" customHeight="1">
      <c r="A48" s="86"/>
    </row>
  </sheetData>
  <mergeCells count="2">
    <mergeCell ref="F1:I5"/>
    <mergeCell ref="A15:A16"/>
  </mergeCells>
  <pageMargins left="0.7" right="0.7" top="0.78740157499999996" bottom="0.78740157499999996"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749F7-FFCF-4254-8A2A-6078E94966E2}">
  <sheetPr codeName="Sheet4">
    <tabColor rgb="FF003145"/>
    <pageSetUpPr fitToPage="1"/>
  </sheetPr>
  <dimension ref="A1:P31"/>
  <sheetViews>
    <sheetView zoomScale="85" zoomScaleNormal="85" workbookViewId="0">
      <pane ySplit="5" topLeftCell="A6" activePane="bottomLeft" state="frozen"/>
      <selection pane="bottomLeft" activeCell="E12" sqref="E12"/>
    </sheetView>
  </sheetViews>
  <sheetFormatPr defaultColWidth="11.42578125" defaultRowHeight="15" customHeight="1"/>
  <cols>
    <col min="1" max="1" width="50" style="3" customWidth="1"/>
    <col min="2" max="2" width="2.42578125" style="3" customWidth="1"/>
    <col min="3" max="3" width="25.7109375" style="3" customWidth="1"/>
    <col min="4" max="4" width="1.7109375" style="3" customWidth="1"/>
    <col min="5" max="5" width="25.7109375" style="3" customWidth="1"/>
    <col min="6" max="6" width="1.7109375" style="3" customWidth="1"/>
    <col min="7" max="7" width="25.7109375" style="3" customWidth="1"/>
    <col min="8" max="8" width="1.7109375" style="3" customWidth="1"/>
    <col min="9" max="9" width="25.7109375" style="3" customWidth="1"/>
    <col min="10" max="10" width="1.7109375" style="3" customWidth="1"/>
    <col min="11" max="11" width="25.7109375" style="3" customWidth="1"/>
    <col min="12" max="12" width="1.7109375" style="3" customWidth="1"/>
    <col min="13" max="13" width="25.7109375" style="3" customWidth="1"/>
    <col min="14" max="16384" width="11.42578125" style="3"/>
  </cols>
  <sheetData>
    <row r="1" spans="1:13" ht="18" customHeight="1">
      <c r="A1" s="15"/>
      <c r="B1" s="15"/>
      <c r="C1" s="17"/>
      <c r="D1" s="17"/>
      <c r="E1" s="15"/>
      <c r="F1" s="253"/>
      <c r="G1" s="253"/>
      <c r="H1" s="253"/>
      <c r="I1" s="253"/>
      <c r="J1" s="253"/>
      <c r="K1" s="253"/>
      <c r="L1" s="253"/>
      <c r="M1" s="253"/>
    </row>
    <row r="2" spans="1:13" ht="15" customHeight="1">
      <c r="A2" s="15"/>
      <c r="B2" s="17"/>
      <c r="C2" s="17"/>
      <c r="D2" s="17"/>
      <c r="E2" s="15"/>
      <c r="F2" s="253"/>
      <c r="G2" s="253"/>
      <c r="H2" s="253"/>
      <c r="I2" s="253"/>
      <c r="J2" s="253"/>
      <c r="K2" s="253"/>
      <c r="L2" s="253"/>
      <c r="M2" s="253"/>
    </row>
    <row r="3" spans="1:13" ht="15" customHeight="1">
      <c r="A3" s="15"/>
      <c r="B3" s="17"/>
      <c r="C3" s="17"/>
      <c r="D3" s="17"/>
      <c r="E3" s="16" t="s">
        <v>4</v>
      </c>
      <c r="F3" s="253"/>
      <c r="G3" s="253"/>
      <c r="H3" s="253"/>
      <c r="I3" s="253"/>
      <c r="J3" s="253"/>
      <c r="K3" s="253"/>
      <c r="L3" s="253"/>
      <c r="M3" s="253"/>
    </row>
    <row r="4" spans="1:13" ht="15" customHeight="1">
      <c r="A4" s="15"/>
      <c r="B4" s="17"/>
      <c r="C4" s="17"/>
      <c r="D4" s="17"/>
      <c r="E4" s="15"/>
      <c r="F4" s="253"/>
      <c r="G4" s="253"/>
      <c r="H4" s="253"/>
      <c r="I4" s="253"/>
      <c r="J4" s="253"/>
      <c r="K4" s="253"/>
      <c r="L4" s="253"/>
      <c r="M4" s="253"/>
    </row>
    <row r="5" spans="1:13" ht="15" customHeight="1">
      <c r="A5" s="15"/>
      <c r="B5" s="15"/>
      <c r="C5" s="17"/>
      <c r="D5" s="17"/>
      <c r="E5" s="15"/>
      <c r="F5" s="253"/>
      <c r="G5" s="253"/>
      <c r="H5" s="253"/>
      <c r="I5" s="253"/>
      <c r="J5" s="253"/>
      <c r="K5" s="253"/>
      <c r="L5" s="253"/>
      <c r="M5" s="253"/>
    </row>
    <row r="6" spans="1:13" ht="15" customHeight="1">
      <c r="G6" s="14"/>
      <c r="H6" s="14"/>
      <c r="I6" s="14"/>
      <c r="J6" s="14"/>
      <c r="K6" s="14"/>
      <c r="L6" s="14"/>
      <c r="M6" s="14"/>
    </row>
    <row r="7" spans="1:13" ht="15" customHeight="1">
      <c r="A7" s="67" t="s">
        <v>24</v>
      </c>
      <c r="B7" s="49"/>
      <c r="C7" s="68"/>
      <c r="G7" s="14"/>
      <c r="H7" s="14"/>
      <c r="I7" s="14"/>
      <c r="J7" s="14"/>
      <c r="K7" s="14"/>
      <c r="L7" s="14"/>
      <c r="M7" s="14"/>
    </row>
    <row r="8" spans="1:13" ht="15" customHeight="1">
      <c r="A8" s="76" t="s">
        <v>54</v>
      </c>
      <c r="C8" s="117">
        <f ca="1">Subscriptions!C12</f>
        <v>318.60000000000002</v>
      </c>
      <c r="G8" s="14"/>
      <c r="H8" s="14"/>
      <c r="I8" s="14"/>
      <c r="J8" s="14"/>
      <c r="K8" s="14"/>
      <c r="L8" s="14"/>
      <c r="M8" s="14"/>
    </row>
    <row r="9" spans="1:13" ht="15" customHeight="1">
      <c r="A9" s="3" t="s">
        <v>25</v>
      </c>
      <c r="C9" s="51">
        <v>0.2</v>
      </c>
      <c r="G9" s="14"/>
      <c r="H9" s="14"/>
      <c r="I9" s="14"/>
      <c r="J9" s="14"/>
      <c r="K9" s="14"/>
      <c r="L9" s="14"/>
      <c r="M9" s="14"/>
    </row>
    <row r="10" spans="1:13" ht="15" customHeight="1">
      <c r="A10" s="108" t="s">
        <v>111</v>
      </c>
      <c r="C10" s="111">
        <f ca="1">C8-(ROUND((C9*C8),4))</f>
        <v>254.88000000000002</v>
      </c>
      <c r="G10" s="14"/>
      <c r="H10" s="14"/>
      <c r="I10" s="14"/>
      <c r="J10" s="14"/>
      <c r="K10" s="14"/>
      <c r="L10" s="14"/>
      <c r="M10" s="14"/>
    </row>
    <row r="11" spans="1:13" ht="15" customHeight="1">
      <c r="A11" s="108" t="s">
        <v>112</v>
      </c>
      <c r="C11" s="111">
        <f ca="1">C10</f>
        <v>254.88000000000002</v>
      </c>
      <c r="G11" s="14"/>
      <c r="H11" s="14"/>
      <c r="I11" s="14"/>
      <c r="J11" s="14"/>
      <c r="K11" s="14"/>
      <c r="L11" s="14"/>
      <c r="M11" s="14"/>
    </row>
    <row r="12" spans="1:13" ht="15" customHeight="1">
      <c r="A12" s="135" t="s">
        <v>26</v>
      </c>
      <c r="B12" s="136"/>
      <c r="C12" s="137"/>
      <c r="G12" s="14"/>
      <c r="H12" s="14"/>
      <c r="I12" s="14"/>
      <c r="J12" s="14"/>
      <c r="K12" s="14"/>
      <c r="L12" s="14"/>
      <c r="M12" s="14"/>
    </row>
    <row r="13" spans="1:13" ht="15" customHeight="1">
      <c r="A13" s="42" t="s">
        <v>26</v>
      </c>
      <c r="B13" s="42"/>
      <c r="C13" s="122">
        <v>25000000</v>
      </c>
      <c r="G13" s="14"/>
      <c r="H13" s="14"/>
      <c r="I13" s="14"/>
      <c r="J13" s="14"/>
      <c r="K13" s="14"/>
      <c r="L13" s="14"/>
      <c r="M13" s="14"/>
    </row>
    <row r="14" spans="1:13" ht="15" customHeight="1">
      <c r="A14" s="42" t="s">
        <v>98</v>
      </c>
      <c r="B14" s="42"/>
      <c r="C14" s="43">
        <f>'Current Capitalisation (DATE)'!M28</f>
        <v>105500</v>
      </c>
      <c r="G14" s="14"/>
      <c r="H14" s="14"/>
      <c r="I14" s="14"/>
      <c r="J14" s="14"/>
      <c r="K14" s="14"/>
      <c r="L14" s="14"/>
      <c r="M14" s="14"/>
    </row>
    <row r="15" spans="1:13" ht="15" customHeight="1">
      <c r="A15" s="42" t="s">
        <v>99</v>
      </c>
      <c r="B15" s="42"/>
      <c r="C15" s="122">
        <f>IF(C13&gt;0,(IF(C14&gt;0,(ROUND((C13/C14),4)),0)),0)</f>
        <v>236.96680000000001</v>
      </c>
      <c r="G15" s="14"/>
      <c r="H15" s="14"/>
      <c r="I15" s="14"/>
      <c r="J15" s="14"/>
      <c r="K15" s="14"/>
      <c r="L15" s="14"/>
      <c r="M15" s="14"/>
    </row>
    <row r="16" spans="1:13" ht="15" customHeight="1">
      <c r="A16" s="135" t="s">
        <v>27</v>
      </c>
      <c r="B16" s="136"/>
      <c r="C16" s="139">
        <f ca="1">MIN(C11,C15)</f>
        <v>236.96680000000001</v>
      </c>
      <c r="E16" s="92" t="s">
        <v>123</v>
      </c>
      <c r="G16" s="14"/>
      <c r="H16" s="14"/>
      <c r="I16" s="14"/>
      <c r="J16" s="14"/>
      <c r="K16" s="14"/>
      <c r="L16" s="14"/>
      <c r="M16" s="14"/>
    </row>
    <row r="17" spans="1:16" ht="15" customHeight="1">
      <c r="A17" s="3" t="s">
        <v>28</v>
      </c>
      <c r="C17" s="51">
        <v>0.08</v>
      </c>
      <c r="G17" s="14"/>
      <c r="H17" s="14"/>
      <c r="I17" s="14"/>
      <c r="J17" s="14"/>
      <c r="K17" s="14"/>
      <c r="L17" s="14"/>
      <c r="M17" s="14"/>
    </row>
    <row r="18" spans="1:16" ht="15" customHeight="1">
      <c r="A18" s="3" t="s">
        <v>29</v>
      </c>
      <c r="C18" s="50">
        <v>45107</v>
      </c>
      <c r="E18" s="92" t="s">
        <v>57</v>
      </c>
      <c r="G18" s="14"/>
      <c r="H18" s="14"/>
      <c r="I18" s="14"/>
      <c r="J18" s="14"/>
      <c r="K18" s="14"/>
      <c r="L18" s="14"/>
      <c r="M18" s="14"/>
      <c r="N18" s="14"/>
      <c r="O18" s="14"/>
      <c r="P18" s="14"/>
    </row>
    <row r="19" spans="1:16" ht="15" customHeight="1">
      <c r="G19" s="14"/>
      <c r="H19" s="14"/>
      <c r="I19" s="14"/>
      <c r="J19" s="14"/>
      <c r="K19" s="14"/>
      <c r="L19" s="14"/>
      <c r="M19" s="14"/>
      <c r="N19" s="14"/>
      <c r="O19" s="14"/>
      <c r="P19" s="14"/>
    </row>
    <row r="20" spans="1:16" ht="15" customHeight="1">
      <c r="G20" s="14"/>
      <c r="H20" s="14"/>
      <c r="I20" s="14"/>
      <c r="J20" s="14"/>
      <c r="K20" s="14"/>
      <c r="L20" s="14"/>
      <c r="M20" s="14"/>
      <c r="N20" s="14"/>
      <c r="O20" s="14"/>
      <c r="P20" s="14"/>
    </row>
    <row r="21" spans="1:16" ht="15" customHeight="1">
      <c r="A21" s="254" t="s">
        <v>55</v>
      </c>
      <c r="B21" s="52"/>
      <c r="C21" s="254" t="s">
        <v>60</v>
      </c>
      <c r="D21" s="52"/>
      <c r="E21" s="254" t="s">
        <v>30</v>
      </c>
      <c r="F21" s="52"/>
      <c r="G21" s="254" t="s">
        <v>31</v>
      </c>
      <c r="H21" s="52"/>
      <c r="I21" s="254" t="s">
        <v>97</v>
      </c>
      <c r="J21" s="52"/>
      <c r="K21" s="259" t="s">
        <v>56</v>
      </c>
      <c r="L21" s="52"/>
      <c r="M21" s="259" t="s">
        <v>101</v>
      </c>
      <c r="N21" s="57"/>
      <c r="O21" s="55"/>
      <c r="P21" s="55"/>
    </row>
    <row r="22" spans="1:16" ht="33" customHeight="1">
      <c r="A22" s="254"/>
      <c r="B22" s="53"/>
      <c r="C22" s="254"/>
      <c r="D22" s="53"/>
      <c r="E22" s="254"/>
      <c r="F22" s="53"/>
      <c r="G22" s="254"/>
      <c r="H22" s="53"/>
      <c r="I22" s="254"/>
      <c r="J22" s="53"/>
      <c r="K22" s="259"/>
      <c r="L22" s="53"/>
      <c r="M22" s="259"/>
      <c r="N22" s="57"/>
      <c r="O22" s="55"/>
      <c r="P22" s="55"/>
    </row>
    <row r="23" spans="1:16" ht="21.75" customHeight="1">
      <c r="A23"/>
      <c r="B23"/>
      <c r="C23"/>
      <c r="D23"/>
      <c r="E23"/>
      <c r="F23"/>
      <c r="G23"/>
      <c r="H23"/>
      <c r="I23"/>
      <c r="J23"/>
      <c r="K23"/>
      <c r="L23"/>
      <c r="M23"/>
      <c r="N23" s="57"/>
      <c r="O23" s="55"/>
      <c r="P23" s="55"/>
    </row>
    <row r="24" spans="1:16" ht="15" customHeight="1">
      <c r="A24" s="66" t="s">
        <v>33</v>
      </c>
      <c r="B24"/>
      <c r="C24" s="118">
        <v>500000</v>
      </c>
      <c r="D24" s="63"/>
      <c r="E24" s="64">
        <f>DATE(2023,5,11)</f>
        <v>45057</v>
      </c>
      <c r="F24" s="63"/>
      <c r="G24" s="62">
        <f>_xlfn.DAYS($C$18,E24)</f>
        <v>50</v>
      </c>
      <c r="H24" s="45"/>
      <c r="I24" s="118">
        <f>ROUND((((C24*$C$17)/365)*G24),2)</f>
        <v>5479.45</v>
      </c>
      <c r="J24" s="119"/>
      <c r="K24" s="118">
        <f>C24+I24</f>
        <v>505479.45</v>
      </c>
      <c r="L24" s="45"/>
      <c r="M24" s="61">
        <f ca="1">ROUNDDOWN((K24/$C$16),0)</f>
        <v>2133</v>
      </c>
      <c r="N24" s="57"/>
      <c r="O24" s="55"/>
      <c r="P24" s="55"/>
    </row>
    <row r="25" spans="1:16" ht="15" customHeight="1">
      <c r="A25" s="66" t="s">
        <v>34</v>
      </c>
      <c r="B25"/>
      <c r="C25" s="118">
        <v>2500000</v>
      </c>
      <c r="D25" s="63"/>
      <c r="E25" s="64">
        <f>DATE(2023,5,11)</f>
        <v>45057</v>
      </c>
      <c r="F25" s="63"/>
      <c r="G25" s="62">
        <f t="shared" ref="G25:G26" si="0">_xlfn.DAYS($C$18,E25)</f>
        <v>50</v>
      </c>
      <c r="H25" s="45"/>
      <c r="I25" s="118">
        <f>ROUND((((C25*$C$17)/365)*G25),2)</f>
        <v>27397.26</v>
      </c>
      <c r="J25" s="119"/>
      <c r="K25" s="118">
        <f>C25+I25</f>
        <v>2527397.2599999998</v>
      </c>
      <c r="L25" s="45"/>
      <c r="M25" s="61">
        <f ca="1">ROUNDDOWN((K25/$C$16),0)</f>
        <v>10665</v>
      </c>
      <c r="N25" s="57"/>
      <c r="O25" s="55"/>
      <c r="P25" s="55"/>
    </row>
    <row r="26" spans="1:16" ht="15" customHeight="1">
      <c r="A26" s="66" t="s">
        <v>35</v>
      </c>
      <c r="B26"/>
      <c r="C26" s="118">
        <v>1700000</v>
      </c>
      <c r="D26" s="63"/>
      <c r="E26" s="64">
        <f>DATE(2023,5,11)</f>
        <v>45057</v>
      </c>
      <c r="F26" s="63"/>
      <c r="G26" s="62">
        <f t="shared" si="0"/>
        <v>50</v>
      </c>
      <c r="H26" s="45"/>
      <c r="I26" s="118">
        <f>ROUND((((C26*$C$17)/365)*G26),2)</f>
        <v>18630.14</v>
      </c>
      <c r="J26" s="119"/>
      <c r="K26" s="118">
        <f>C26+I26</f>
        <v>1718630.14</v>
      </c>
      <c r="L26" s="45"/>
      <c r="M26" s="61">
        <f ca="1">ROUNDDOWN((K26/$C$16),0)</f>
        <v>7252</v>
      </c>
      <c r="N26" s="57"/>
      <c r="O26" s="55"/>
      <c r="P26" s="55"/>
    </row>
    <row r="27" spans="1:16" ht="15" customHeight="1">
      <c r="A27" s="34"/>
      <c r="C27" s="111"/>
      <c r="E27" s="29"/>
      <c r="I27" s="113"/>
      <c r="J27" s="111"/>
      <c r="K27" s="120"/>
      <c r="M27" s="65"/>
    </row>
    <row r="28" spans="1:16" ht="15" customHeight="1" thickBot="1">
      <c r="A28" s="72" t="s">
        <v>8</v>
      </c>
      <c r="B28" s="44"/>
      <c r="C28" s="115">
        <f>SUM(C24:C26)</f>
        <v>4700000</v>
      </c>
      <c r="D28" s="44"/>
      <c r="E28" s="84"/>
      <c r="F28" s="44"/>
      <c r="G28" s="84"/>
      <c r="H28" s="44"/>
      <c r="I28" s="115">
        <f>SUM(I24:I26)</f>
        <v>51506.85</v>
      </c>
      <c r="J28" s="116"/>
      <c r="K28" s="121">
        <f>SUM(K24:K26)</f>
        <v>4751506.8499999996</v>
      </c>
      <c r="L28" s="44"/>
      <c r="M28" s="85">
        <f ca="1">SUM(M24:M26)</f>
        <v>20050</v>
      </c>
    </row>
    <row r="29" spans="1:16" ht="15" customHeight="1">
      <c r="I29" s="42"/>
    </row>
    <row r="30" spans="1:16" ht="73.5" customHeight="1">
      <c r="G30" s="109"/>
      <c r="I30" s="107" t="s">
        <v>113</v>
      </c>
      <c r="M30" s="110" t="s">
        <v>102</v>
      </c>
    </row>
    <row r="31" spans="1:16" ht="15" customHeight="1">
      <c r="G31" s="40"/>
    </row>
  </sheetData>
  <mergeCells count="8">
    <mergeCell ref="M21:M22"/>
    <mergeCell ref="F1:M5"/>
    <mergeCell ref="A21:A22"/>
    <mergeCell ref="C21:C22"/>
    <mergeCell ref="E21:E22"/>
    <mergeCell ref="G21:G22"/>
    <mergeCell ref="I21:I22"/>
    <mergeCell ref="K21:K22"/>
  </mergeCells>
  <pageMargins left="0.7" right="0.7" top="0.78740157499999996" bottom="0.78740157499999996" header="0.3" footer="0.3"/>
  <pageSetup paperSize="8"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6BE57-6334-4AC4-8ED6-CF757FAB1A96}">
  <sheetPr codeName="Sheet5">
    <tabColor rgb="FF003145"/>
    <pageSetUpPr fitToPage="1"/>
  </sheetPr>
  <dimension ref="A1:K22"/>
  <sheetViews>
    <sheetView zoomScale="80" zoomScaleNormal="80" workbookViewId="0">
      <pane ySplit="5" topLeftCell="A6" activePane="bottomLeft" state="frozen"/>
      <selection pane="bottomLeft" activeCell="M17" sqref="M17"/>
    </sheetView>
  </sheetViews>
  <sheetFormatPr defaultColWidth="11.42578125" defaultRowHeight="15" customHeight="1"/>
  <cols>
    <col min="1" max="1" width="50" style="3" customWidth="1"/>
    <col min="2" max="2" width="1.7109375" style="3" customWidth="1"/>
    <col min="3" max="3" width="25.7109375" style="3" customWidth="1"/>
    <col min="4" max="4" width="1.7109375" style="3" customWidth="1"/>
    <col min="5" max="5" width="34.85546875" style="3" customWidth="1"/>
    <col min="6" max="6" width="11.42578125" style="3"/>
    <col min="7" max="7" width="20.5703125" style="3" customWidth="1"/>
    <col min="8" max="16384" width="11.42578125" style="3"/>
  </cols>
  <sheetData>
    <row r="1" spans="1:11" ht="18" customHeight="1">
      <c r="A1" s="15"/>
      <c r="B1" s="17"/>
      <c r="C1" s="17"/>
      <c r="D1" s="17"/>
      <c r="E1" s="253"/>
    </row>
    <row r="2" spans="1:11" ht="15" customHeight="1">
      <c r="A2" s="15"/>
      <c r="B2" s="17"/>
      <c r="C2" s="17"/>
      <c r="D2" s="17"/>
      <c r="E2" s="253"/>
    </row>
    <row r="3" spans="1:11" ht="15" customHeight="1">
      <c r="A3" s="15"/>
      <c r="B3" s="17"/>
      <c r="C3" s="17"/>
      <c r="D3" s="17"/>
      <c r="E3" s="253"/>
    </row>
    <row r="4" spans="1:11" ht="15" customHeight="1">
      <c r="A4" s="15"/>
      <c r="B4" s="17"/>
      <c r="C4" s="17"/>
      <c r="D4" s="17"/>
      <c r="E4" s="253"/>
    </row>
    <row r="5" spans="1:11" ht="15" customHeight="1">
      <c r="A5" s="15"/>
      <c r="B5" s="17"/>
      <c r="C5" s="17"/>
      <c r="D5" s="17"/>
      <c r="E5" s="253"/>
    </row>
    <row r="6" spans="1:11" ht="15" customHeight="1">
      <c r="E6" s="14"/>
    </row>
    <row r="7" spans="1:11" ht="15" customHeight="1">
      <c r="A7" s="76" t="s">
        <v>54</v>
      </c>
      <c r="C7" s="117">
        <f ca="1">Subscriptions!C12</f>
        <v>318.60000000000002</v>
      </c>
      <c r="E7" s="14"/>
    </row>
    <row r="8" spans="1:11" ht="15" customHeight="1">
      <c r="A8" s="86" t="s">
        <v>66</v>
      </c>
      <c r="C8" s="51">
        <v>0.15</v>
      </c>
      <c r="E8" s="14"/>
    </row>
    <row r="9" spans="1:11" ht="15" customHeight="1">
      <c r="A9" s="86" t="s">
        <v>58</v>
      </c>
      <c r="C9" s="117">
        <f ca="1">C7-(ROUND((C8*C7),4))</f>
        <v>270.81</v>
      </c>
      <c r="E9" s="14"/>
    </row>
    <row r="10" spans="1:11" ht="15" customHeight="1">
      <c r="E10" s="14"/>
      <c r="F10" s="14"/>
      <c r="G10" s="14"/>
      <c r="H10" s="14"/>
      <c r="I10" s="14"/>
      <c r="J10" s="14"/>
      <c r="K10" s="14"/>
    </row>
    <row r="11" spans="1:11" ht="15" customHeight="1">
      <c r="A11" s="254" t="s">
        <v>59</v>
      </c>
      <c r="B11" s="52"/>
      <c r="C11" s="254" t="s">
        <v>61</v>
      </c>
      <c r="D11" s="52"/>
      <c r="E11" s="20" t="s">
        <v>32</v>
      </c>
      <c r="F11" s="55"/>
      <c r="G11" s="59"/>
      <c r="H11" s="55"/>
      <c r="I11" s="57"/>
      <c r="J11" s="55"/>
      <c r="K11" s="55"/>
    </row>
    <row r="12" spans="1:11" ht="24" customHeight="1">
      <c r="A12" s="254"/>
      <c r="B12" s="53"/>
      <c r="C12" s="254"/>
      <c r="D12" s="53"/>
      <c r="E12" s="54" t="str">
        <f>Subscriptions!G15</f>
        <v>Series C Preferred</v>
      </c>
      <c r="F12" s="55"/>
      <c r="G12" s="59"/>
      <c r="H12" s="55"/>
      <c r="I12" s="57"/>
      <c r="J12" s="55"/>
      <c r="K12" s="55"/>
    </row>
    <row r="13" spans="1:11" ht="21.75" customHeight="1">
      <c r="A13"/>
      <c r="B13"/>
      <c r="C13"/>
      <c r="D13"/>
      <c r="E13"/>
      <c r="F13" s="55"/>
      <c r="G13" s="56"/>
      <c r="H13" s="55"/>
      <c r="I13" s="57"/>
      <c r="J13" s="55"/>
      <c r="K13" s="55"/>
    </row>
    <row r="14" spans="1:11" ht="15" customHeight="1">
      <c r="A14" s="66" t="s">
        <v>33</v>
      </c>
      <c r="B14" s="63"/>
      <c r="C14" s="118">
        <v>140000</v>
      </c>
      <c r="D14" s="63"/>
      <c r="E14" s="61">
        <f ca="1">ROUND(C14/$C$9,0)</f>
        <v>517</v>
      </c>
      <c r="F14" s="55"/>
      <c r="G14" s="58"/>
      <c r="H14" s="55"/>
      <c r="I14" s="57"/>
      <c r="J14" s="55"/>
      <c r="K14" s="55"/>
    </row>
    <row r="15" spans="1:11" ht="15" customHeight="1">
      <c r="A15" s="66" t="s">
        <v>34</v>
      </c>
      <c r="B15" s="63"/>
      <c r="C15" s="118">
        <v>140000</v>
      </c>
      <c r="D15" s="63"/>
      <c r="E15" s="61">
        <f ca="1">ROUND(C15/$C$9,0)</f>
        <v>517</v>
      </c>
      <c r="F15" s="55"/>
      <c r="G15" s="59"/>
      <c r="H15" s="55"/>
      <c r="I15" s="57"/>
      <c r="J15" s="55"/>
      <c r="K15" s="55"/>
    </row>
    <row r="16" spans="1:11" ht="15" customHeight="1">
      <c r="A16" s="34"/>
      <c r="C16" s="111"/>
      <c r="E16" s="96"/>
    </row>
    <row r="17" spans="1:5" ht="15" customHeight="1" thickBot="1">
      <c r="A17" s="72" t="s">
        <v>8</v>
      </c>
      <c r="B17" s="44"/>
      <c r="C17" s="115">
        <f>SUM(C14:C15)</f>
        <v>280000</v>
      </c>
      <c r="D17" s="44"/>
      <c r="E17" s="85">
        <f ca="1">SUM(E14:E15)</f>
        <v>1034</v>
      </c>
    </row>
    <row r="21" spans="1:5" ht="15" customHeight="1">
      <c r="A21" s="87"/>
    </row>
    <row r="22" spans="1:5" ht="15" customHeight="1">
      <c r="A22" s="40"/>
    </row>
  </sheetData>
  <mergeCells count="3">
    <mergeCell ref="E1:E5"/>
    <mergeCell ref="A11:A12"/>
    <mergeCell ref="C11:C12"/>
  </mergeCells>
  <pageMargins left="0.7" right="0.7" top="0.78740157499999996" bottom="0.78740157499999996"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F69A-0D08-4A6F-B1BC-9E5934F341B9}">
  <sheetPr codeName="Sheet6">
    <tabColor rgb="FF003145"/>
    <pageSetUpPr fitToPage="1"/>
  </sheetPr>
  <dimension ref="A1:M17"/>
  <sheetViews>
    <sheetView tabSelected="1" zoomScale="80" zoomScaleNormal="80" workbookViewId="0">
      <pane ySplit="5" topLeftCell="A6" activePane="bottomLeft" state="frozen"/>
      <selection pane="bottomLeft" activeCell="E23" sqref="E23"/>
    </sheetView>
  </sheetViews>
  <sheetFormatPr defaultColWidth="11.42578125" defaultRowHeight="15" customHeight="1"/>
  <cols>
    <col min="1" max="1" width="31.5703125" style="3" customWidth="1"/>
    <col min="2" max="2" width="1.7109375" style="3" customWidth="1"/>
    <col min="3" max="3" width="15.140625" style="3" customWidth="1"/>
    <col min="4" max="4" width="1.7109375" style="3" customWidth="1"/>
    <col min="5" max="5" width="22.7109375" style="3" customWidth="1"/>
    <col min="6" max="6" width="2" style="3" customWidth="1"/>
    <col min="7" max="7" width="22.7109375" style="3" customWidth="1"/>
    <col min="8" max="8" width="1.7109375" style="3" customWidth="1"/>
    <col min="9" max="9" width="22.7109375" style="3" customWidth="1"/>
    <col min="10" max="10" width="1.7109375" style="3" customWidth="1"/>
    <col min="11" max="11" width="22.7109375" style="3" customWidth="1"/>
    <col min="12" max="12" width="1.7109375" style="3" customWidth="1"/>
    <col min="13" max="13" width="28.140625" style="3" customWidth="1"/>
    <col min="14" max="16384" width="11.42578125" style="3"/>
  </cols>
  <sheetData>
    <row r="1" spans="1:13" ht="18" customHeight="1">
      <c r="A1" s="15"/>
      <c r="B1" s="15"/>
      <c r="C1" s="17"/>
      <c r="D1" s="17"/>
      <c r="E1" s="15"/>
      <c r="F1" s="15"/>
      <c r="G1" s="15"/>
      <c r="H1" s="253"/>
      <c r="I1" s="253"/>
      <c r="J1" s="253"/>
      <c r="K1" s="253"/>
      <c r="L1" s="253"/>
      <c r="M1" s="253"/>
    </row>
    <row r="2" spans="1:13" ht="15" customHeight="1">
      <c r="A2" s="15"/>
      <c r="B2" s="17"/>
      <c r="C2" s="17"/>
      <c r="D2" s="17"/>
      <c r="E2" s="15"/>
      <c r="F2" s="15"/>
      <c r="G2" s="15"/>
      <c r="H2" s="253"/>
      <c r="I2" s="253"/>
      <c r="J2" s="253"/>
      <c r="K2" s="253"/>
      <c r="L2" s="253"/>
      <c r="M2" s="253"/>
    </row>
    <row r="3" spans="1:13" ht="15" customHeight="1">
      <c r="A3" s="15"/>
      <c r="B3" s="17"/>
      <c r="C3" s="17"/>
      <c r="D3" s="17"/>
      <c r="E3" s="16" t="s">
        <v>4</v>
      </c>
      <c r="F3" s="16"/>
      <c r="G3" s="16"/>
      <c r="H3" s="253"/>
      <c r="I3" s="253"/>
      <c r="J3" s="253"/>
      <c r="K3" s="253"/>
      <c r="L3" s="253"/>
      <c r="M3" s="253"/>
    </row>
    <row r="4" spans="1:13" ht="15" customHeight="1">
      <c r="A4" s="15"/>
      <c r="B4" s="17"/>
      <c r="C4" s="17"/>
      <c r="D4" s="17"/>
      <c r="E4" s="15"/>
      <c r="F4" s="15"/>
      <c r="G4" s="15"/>
      <c r="H4" s="253"/>
      <c r="I4" s="253"/>
      <c r="J4" s="253"/>
      <c r="K4" s="253"/>
      <c r="L4" s="253"/>
      <c r="M4" s="253"/>
    </row>
    <row r="5" spans="1:13" ht="15" customHeight="1">
      <c r="A5" s="15"/>
      <c r="B5" s="15"/>
      <c r="C5" s="17"/>
      <c r="D5" s="17"/>
      <c r="E5" s="15"/>
      <c r="F5" s="15"/>
      <c r="G5" s="15"/>
      <c r="H5" s="253"/>
      <c r="I5" s="253"/>
      <c r="J5" s="253"/>
      <c r="K5" s="253"/>
      <c r="L5" s="253"/>
      <c r="M5" s="253"/>
    </row>
    <row r="6" spans="1:13" ht="15" customHeight="1">
      <c r="I6" s="14"/>
      <c r="J6" s="14"/>
      <c r="K6" s="14"/>
      <c r="L6" s="14"/>
    </row>
    <row r="7" spans="1:13" ht="15" customHeight="1">
      <c r="A7" s="108" t="s">
        <v>165</v>
      </c>
      <c r="C7" s="117">
        <f ca="1">Subscriptions!C12</f>
        <v>318.60000000000002</v>
      </c>
      <c r="E7" s="87" t="s">
        <v>175</v>
      </c>
      <c r="F7" s="87"/>
      <c r="G7" s="87"/>
      <c r="I7" s="14"/>
      <c r="J7" s="14"/>
      <c r="K7" s="14"/>
      <c r="L7" s="14"/>
    </row>
    <row r="8" spans="1:13" ht="15" customHeight="1">
      <c r="I8" s="14"/>
      <c r="J8" s="14"/>
      <c r="K8" s="14"/>
      <c r="L8" s="14"/>
      <c r="M8" s="14"/>
    </row>
    <row r="9" spans="1:13" ht="15" customHeight="1">
      <c r="A9" s="254" t="s">
        <v>67</v>
      </c>
      <c r="B9" s="52"/>
      <c r="C9" s="254" t="s">
        <v>68</v>
      </c>
      <c r="D9" s="52"/>
      <c r="E9" s="254" t="s">
        <v>22</v>
      </c>
      <c r="G9" s="254" t="s">
        <v>176</v>
      </c>
      <c r="H9" s="52"/>
      <c r="I9" s="254" t="s">
        <v>69</v>
      </c>
      <c r="J9" s="52"/>
      <c r="K9" s="254" t="s">
        <v>70</v>
      </c>
      <c r="L9" s="52"/>
      <c r="M9" s="254" t="s">
        <v>94</v>
      </c>
    </row>
    <row r="10" spans="1:13" ht="7.5" customHeight="1">
      <c r="A10" s="254"/>
      <c r="B10" s="53"/>
      <c r="C10" s="254"/>
      <c r="D10" s="53"/>
      <c r="E10" s="254"/>
      <c r="G10" s="254"/>
      <c r="H10" s="53"/>
      <c r="I10" s="254"/>
      <c r="J10" s="53"/>
      <c r="K10" s="254"/>
      <c r="L10" s="53"/>
      <c r="M10" s="254"/>
    </row>
    <row r="11" spans="1:13" ht="21.75" customHeight="1">
      <c r="A11"/>
      <c r="B11"/>
      <c r="C11"/>
      <c r="D11"/>
      <c r="E11"/>
      <c r="G11"/>
      <c r="H11"/>
      <c r="I11"/>
      <c r="J11"/>
      <c r="K11"/>
      <c r="L11"/>
      <c r="M11" s="56"/>
    </row>
    <row r="12" spans="1:13" ht="15" customHeight="1">
      <c r="A12" s="66" t="str">
        <f>'Current Capitalisation (DATE)'!A19</f>
        <v>[Shareholder 1]</v>
      </c>
      <c r="B12" s="63"/>
      <c r="C12" s="60" t="s">
        <v>39</v>
      </c>
      <c r="D12" s="63"/>
      <c r="E12" s="64" t="str">
        <f>'Current Capitalisation (DATE)'!G7</f>
        <v xml:space="preserve">Series A Preferred </v>
      </c>
      <c r="G12" s="64" t="s">
        <v>45</v>
      </c>
      <c r="H12" s="63"/>
      <c r="I12" s="62">
        <v>1000</v>
      </c>
      <c r="J12" s="45"/>
      <c r="K12" s="118">
        <f ca="1">C7</f>
        <v>318.60000000000002</v>
      </c>
      <c r="L12" s="119"/>
      <c r="M12" s="122">
        <f ca="1">I12*K12</f>
        <v>318600</v>
      </c>
    </row>
    <row r="13" spans="1:13" ht="15" customHeight="1">
      <c r="A13" s="66" t="str">
        <f>'Current Capitalisation (DATE)'!A20</f>
        <v>[Shareholder 2]</v>
      </c>
      <c r="B13" s="63"/>
      <c r="C13" s="60" t="s">
        <v>40</v>
      </c>
      <c r="D13" s="63"/>
      <c r="E13" s="64" t="str">
        <f>'Current Capitalisation (DATE)'!G7</f>
        <v xml:space="preserve">Series A Preferred </v>
      </c>
      <c r="G13" s="64" t="s">
        <v>45</v>
      </c>
      <c r="H13" s="63"/>
      <c r="I13" s="62">
        <v>1000</v>
      </c>
      <c r="J13" s="45"/>
      <c r="K13" s="118">
        <f ca="1">C7</f>
        <v>318.60000000000002</v>
      </c>
      <c r="L13" s="119"/>
      <c r="M13" s="122">
        <f ca="1">I13*K13</f>
        <v>318600</v>
      </c>
    </row>
    <row r="14" spans="1:13" ht="15" customHeight="1">
      <c r="A14" s="34"/>
      <c r="E14" s="29"/>
      <c r="G14" s="29"/>
      <c r="K14" s="113"/>
      <c r="L14" s="111"/>
      <c r="M14" s="111"/>
    </row>
    <row r="15" spans="1:13" ht="15" customHeight="1" thickBot="1">
      <c r="A15" s="72" t="s">
        <v>8</v>
      </c>
      <c r="B15" s="44"/>
      <c r="C15" s="83"/>
      <c r="D15" s="44"/>
      <c r="E15" s="84"/>
      <c r="G15" s="84"/>
      <c r="H15" s="44"/>
      <c r="I15" s="84">
        <f>SUM(I12:I13)</f>
        <v>2000</v>
      </c>
      <c r="J15" s="44"/>
      <c r="K15" s="115"/>
      <c r="L15" s="116"/>
      <c r="M15" s="115">
        <f ca="1">SUM(M12:M13)</f>
        <v>637200</v>
      </c>
    </row>
    <row r="16" spans="1:13" ht="15" customHeight="1">
      <c r="K16" s="42"/>
    </row>
    <row r="17" spans="9:9" ht="15" customHeight="1">
      <c r="I17" s="40"/>
    </row>
  </sheetData>
  <mergeCells count="9">
    <mergeCell ref="M9:M10"/>
    <mergeCell ref="M1:M5"/>
    <mergeCell ref="H1:L5"/>
    <mergeCell ref="A9:A10"/>
    <mergeCell ref="C9:C10"/>
    <mergeCell ref="E9:E10"/>
    <mergeCell ref="I9:I10"/>
    <mergeCell ref="K9:K10"/>
    <mergeCell ref="G9:G10"/>
  </mergeCells>
  <pageMargins left="0.7" right="0.7" top="0.78740157499999996" bottom="0.78740157499999996"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25342-5B25-48D5-8CE0-F5D7724C5F8E}">
  <sheetPr codeName="Sheet7">
    <tabColor rgb="FF003145"/>
    <pageSetUpPr fitToPage="1"/>
  </sheetPr>
  <dimension ref="A1:P49"/>
  <sheetViews>
    <sheetView topLeftCell="A2" zoomScale="80" zoomScaleNormal="80" workbookViewId="0">
      <selection activeCell="C39" sqref="C39"/>
    </sheetView>
  </sheetViews>
  <sheetFormatPr defaultColWidth="11.42578125" defaultRowHeight="15" customHeight="1"/>
  <cols>
    <col min="1" max="1" width="35.5703125" style="3" customWidth="1"/>
    <col min="2" max="2" width="1.7109375" style="3" customWidth="1"/>
    <col min="3" max="3" width="25.7109375" style="3" customWidth="1"/>
    <col min="4" max="4" width="1.7109375" style="3" customWidth="1"/>
    <col min="5" max="5" width="20.5703125" style="3" customWidth="1"/>
    <col min="6" max="6" width="17.7109375" style="3" customWidth="1"/>
    <col min="7" max="7" width="21.85546875" style="3" customWidth="1"/>
    <col min="8" max="9" width="20.7109375" style="3" customWidth="1"/>
    <col min="10" max="10" width="1.7109375" style="3" customWidth="1"/>
    <col min="11" max="11" width="14.7109375" style="3" customWidth="1"/>
    <col min="12" max="12" width="12.85546875" style="3" customWidth="1"/>
    <col min="13" max="13" width="1.7109375" style="3" customWidth="1"/>
    <col min="14" max="14" width="15.28515625" style="3" customWidth="1"/>
    <col min="15" max="15" width="13.140625" style="3" customWidth="1"/>
    <col min="16" max="16384" width="11.42578125" style="3"/>
  </cols>
  <sheetData>
    <row r="1" spans="1:16" ht="18" customHeight="1">
      <c r="A1" s="15"/>
      <c r="B1" s="15"/>
      <c r="C1" s="15"/>
      <c r="D1" s="15"/>
      <c r="E1" s="15"/>
      <c r="F1" s="17"/>
      <c r="G1" s="17"/>
      <c r="H1" s="15"/>
      <c r="I1" s="15"/>
      <c r="J1" s="253"/>
      <c r="K1" s="253"/>
      <c r="L1" s="253"/>
      <c r="M1" s="253"/>
      <c r="N1" s="253"/>
      <c r="O1" s="253"/>
    </row>
    <row r="2" spans="1:16" ht="15" customHeight="1">
      <c r="A2" s="15"/>
      <c r="B2" s="15"/>
      <c r="C2" s="15"/>
      <c r="D2" s="15"/>
      <c r="E2" s="17"/>
      <c r="F2" s="17"/>
      <c r="G2" s="17"/>
      <c r="H2" s="15"/>
      <c r="I2" s="15"/>
      <c r="J2" s="253"/>
      <c r="K2" s="253"/>
      <c r="L2" s="253"/>
      <c r="M2" s="253"/>
      <c r="N2" s="253"/>
      <c r="O2" s="253"/>
    </row>
    <row r="3" spans="1:16" ht="15" customHeight="1">
      <c r="A3" s="15"/>
      <c r="B3" s="15"/>
      <c r="C3" s="15"/>
      <c r="D3" s="15"/>
      <c r="E3" s="17"/>
      <c r="F3" s="17"/>
      <c r="G3" s="17"/>
      <c r="H3" s="16" t="s">
        <v>4</v>
      </c>
      <c r="I3" s="16"/>
      <c r="J3" s="253"/>
      <c r="K3" s="253"/>
      <c r="L3" s="253"/>
      <c r="M3" s="253"/>
      <c r="N3" s="253"/>
      <c r="O3" s="253"/>
    </row>
    <row r="4" spans="1:16" ht="15" customHeight="1">
      <c r="A4" s="15"/>
      <c r="B4" s="15"/>
      <c r="C4" s="15"/>
      <c r="D4" s="15"/>
      <c r="E4" s="17"/>
      <c r="F4" s="17"/>
      <c r="G4" s="17"/>
      <c r="H4" s="15"/>
      <c r="I4" s="15"/>
      <c r="J4" s="253"/>
      <c r="K4" s="253"/>
      <c r="L4" s="253"/>
      <c r="M4" s="253"/>
      <c r="N4" s="253"/>
      <c r="O4" s="253"/>
    </row>
    <row r="5" spans="1:16" ht="15" customHeight="1">
      <c r="A5" s="15"/>
      <c r="B5" s="15"/>
      <c r="C5" s="15"/>
      <c r="D5" s="15"/>
      <c r="E5" s="15"/>
      <c r="F5" s="17"/>
      <c r="G5" s="17"/>
      <c r="H5" s="15"/>
      <c r="I5" s="15"/>
      <c r="J5" s="253"/>
      <c r="K5" s="253"/>
      <c r="L5" s="253"/>
      <c r="M5" s="253"/>
      <c r="N5" s="253"/>
      <c r="O5" s="253"/>
    </row>
    <row r="6" spans="1:16" ht="15.6" customHeight="1">
      <c r="K6" s="14"/>
      <c r="L6" s="14"/>
      <c r="M6" s="14"/>
      <c r="N6" s="14"/>
      <c r="O6" s="14"/>
    </row>
    <row r="7" spans="1:16" ht="15" customHeight="1">
      <c r="A7" s="254" t="s">
        <v>1</v>
      </c>
      <c r="B7" s="39"/>
      <c r="C7" s="20" t="str">
        <f>'Current Capitalisation (DATE)'!C7</f>
        <v>Ordinary Shares</v>
      </c>
      <c r="D7" s="39"/>
      <c r="E7" s="20" t="str">
        <f>'Current Capitalisation (DATE)'!E7</f>
        <v>Ordinary</v>
      </c>
      <c r="F7" s="20" t="str">
        <f>'Current Capitalisation (DATE)'!F7</f>
        <v xml:space="preserve">Seed Preferred </v>
      </c>
      <c r="G7" s="20" t="str">
        <f>'Current Capitalisation (DATE)'!G7</f>
        <v xml:space="preserve">Series A Preferred </v>
      </c>
      <c r="H7" s="20" t="str">
        <f>'Current Capitalisation (DATE)'!H7</f>
        <v>Series B Preferred</v>
      </c>
      <c r="I7" s="20" t="str">
        <f>Subscriptions!G15</f>
        <v>Series C Preferred</v>
      </c>
      <c r="K7" s="255" t="s">
        <v>107</v>
      </c>
      <c r="L7" s="255"/>
      <c r="M7" s="14"/>
      <c r="N7" s="255" t="s">
        <v>108</v>
      </c>
      <c r="O7" s="255"/>
    </row>
    <row r="8" spans="1:16" ht="15" customHeight="1">
      <c r="A8" s="254"/>
      <c r="B8" s="39"/>
      <c r="C8" s="20" t="s">
        <v>5</v>
      </c>
      <c r="D8" s="39"/>
      <c r="E8" s="20" t="s">
        <v>6</v>
      </c>
      <c r="F8" s="20" t="s">
        <v>6</v>
      </c>
      <c r="G8" s="20" t="s">
        <v>6</v>
      </c>
      <c r="H8" s="20" t="s">
        <v>6</v>
      </c>
      <c r="I8" s="20" t="s">
        <v>6</v>
      </c>
      <c r="K8" s="20" t="s">
        <v>6</v>
      </c>
      <c r="L8" s="20" t="s">
        <v>10</v>
      </c>
      <c r="M8" s="14"/>
      <c r="N8" s="20" t="s">
        <v>6</v>
      </c>
      <c r="O8" s="20" t="s">
        <v>10</v>
      </c>
    </row>
    <row r="9" spans="1:16" ht="15" customHeight="1">
      <c r="K9" s="19"/>
    </row>
    <row r="10" spans="1:16" ht="14.25" customHeight="1">
      <c r="A10" s="23" t="s">
        <v>7</v>
      </c>
      <c r="B10" s="23"/>
      <c r="C10" s="23"/>
      <c r="D10" s="23"/>
      <c r="K10" s="19"/>
    </row>
    <row r="11" spans="1:16" ht="15" customHeight="1">
      <c r="A11" s="1" t="str">
        <f>'Current Capitalisation (DATE)'!A11</f>
        <v>[Founder 1]</v>
      </c>
      <c r="B11" s="1"/>
      <c r="C11" s="1"/>
      <c r="D11" s="1"/>
      <c r="E11" s="4">
        <f>'Current Capitalisation (DATE)'!E11</f>
        <v>12500</v>
      </c>
      <c r="G11" s="19"/>
      <c r="H11" s="19"/>
      <c r="I11" s="19"/>
      <c r="K11" s="19">
        <f t="shared" ref="K11:K33" si="0">SUM(E11:I11)</f>
        <v>12500</v>
      </c>
      <c r="L11" s="28">
        <f ca="1">K11/$K$40</f>
        <v>8.8891417355871458E-2</v>
      </c>
      <c r="N11" s="19">
        <f>SUM(C11:I11)</f>
        <v>12500</v>
      </c>
      <c r="O11" s="28">
        <f ca="1">N11/$N$40</f>
        <v>8.2989755744550892E-2</v>
      </c>
    </row>
    <row r="12" spans="1:16" ht="15" customHeight="1">
      <c r="A12" s="1" t="str">
        <f>'Current Capitalisation (DATE)'!A12</f>
        <v>[Founder 2]</v>
      </c>
      <c r="B12" s="1"/>
      <c r="C12" s="1"/>
      <c r="D12" s="1"/>
      <c r="E12" s="4">
        <f>'Current Capitalisation (DATE)'!E12</f>
        <v>12500</v>
      </c>
      <c r="G12" s="19"/>
      <c r="H12" s="19"/>
      <c r="I12" s="19"/>
      <c r="K12" s="19">
        <f t="shared" si="0"/>
        <v>12500</v>
      </c>
      <c r="L12" s="28">
        <f ca="1">K12/$K$40</f>
        <v>8.8891417355871458E-2</v>
      </c>
      <c r="N12" s="19">
        <f>SUM(C12:I12)</f>
        <v>12500</v>
      </c>
      <c r="O12" s="28">
        <f ca="1">N12/$N$40</f>
        <v>8.2989755744550892E-2</v>
      </c>
    </row>
    <row r="13" spans="1:16" ht="15" customHeight="1">
      <c r="A13" s="1"/>
      <c r="C13" s="1"/>
      <c r="E13" s="4"/>
      <c r="G13" s="19"/>
      <c r="H13" s="19"/>
      <c r="I13" s="19"/>
      <c r="K13" s="19"/>
      <c r="L13" s="28"/>
      <c r="N13" s="19"/>
      <c r="O13" s="28"/>
      <c r="P13" s="74">
        <f ca="1">SUM(O11:O12)</f>
        <v>0.16597951148910178</v>
      </c>
    </row>
    <row r="14" spans="1:16" ht="15" customHeight="1">
      <c r="A14" s="89" t="str">
        <f>'Current Capitalisation (DATE)'!A14</f>
        <v xml:space="preserve">Ordinary Shareholders </v>
      </c>
      <c r="B14" s="24"/>
      <c r="C14" s="1"/>
      <c r="D14" s="24"/>
      <c r="E14" s="4"/>
      <c r="G14" s="19"/>
      <c r="H14" s="19"/>
      <c r="I14" s="19"/>
      <c r="K14" s="19"/>
      <c r="L14" s="28">
        <f ca="1">K14/$K$40</f>
        <v>0</v>
      </c>
      <c r="N14" s="19"/>
      <c r="O14" s="28"/>
    </row>
    <row r="15" spans="1:16" ht="15" customHeight="1">
      <c r="A15" s="1" t="str">
        <f>'Current Capitalisation (DATE)'!A15</f>
        <v>[Name]</v>
      </c>
      <c r="B15" s="1"/>
      <c r="C15" s="1"/>
      <c r="D15" s="1"/>
      <c r="E15" s="19">
        <f>'Current Capitalisation (DATE)'!E15</f>
        <v>10000</v>
      </c>
      <c r="G15" s="19"/>
      <c r="H15" s="19"/>
      <c r="I15" s="19"/>
      <c r="K15" s="19">
        <f>SUM(E15:I15)</f>
        <v>10000</v>
      </c>
      <c r="L15" s="28">
        <f ca="1">K15/$K$40</f>
        <v>7.1113133884697158E-2</v>
      </c>
      <c r="N15" s="19">
        <f>SUM(C15:I15)</f>
        <v>10000</v>
      </c>
      <c r="O15" s="28">
        <f ca="1">N15/$N$40</f>
        <v>6.6391804595640716E-2</v>
      </c>
    </row>
    <row r="16" spans="1:16" ht="15" customHeight="1">
      <c r="A16" s="1" t="str">
        <f>'Current Capitalisation (DATE)'!A16</f>
        <v>[Name]</v>
      </c>
      <c r="B16" s="1"/>
      <c r="C16" s="1"/>
      <c r="D16" s="1"/>
      <c r="E16" s="19">
        <f>'Current Capitalisation (DATE)'!E16</f>
        <v>10000</v>
      </c>
      <c r="G16" s="19"/>
      <c r="H16" s="19"/>
      <c r="I16" s="19"/>
      <c r="K16" s="19">
        <f>SUM(E16:I16)</f>
        <v>10000</v>
      </c>
      <c r="L16" s="28">
        <f ca="1">K16/$K$40</f>
        <v>7.1113133884697158E-2</v>
      </c>
      <c r="N16" s="19">
        <f>SUM(C16:I16)</f>
        <v>10000</v>
      </c>
      <c r="O16" s="28">
        <f ca="1">N16/$N$40</f>
        <v>6.6391804595640716E-2</v>
      </c>
    </row>
    <row r="17" spans="1:16" ht="15" customHeight="1">
      <c r="A17" s="1"/>
      <c r="B17" s="1"/>
      <c r="C17" s="1"/>
      <c r="D17" s="1"/>
      <c r="E17" s="19"/>
      <c r="F17" s="19"/>
      <c r="G17" s="19"/>
      <c r="H17" s="19"/>
      <c r="I17" s="19"/>
      <c r="K17" s="19"/>
      <c r="L17" s="28"/>
      <c r="N17" s="19"/>
      <c r="O17" s="28"/>
      <c r="P17" s="74">
        <f ca="1">SUM(O15:O16)</f>
        <v>0.13278360919128143</v>
      </c>
    </row>
    <row r="18" spans="1:16" ht="15" customHeight="1">
      <c r="A18" s="89" t="str">
        <f>'Current Capitalisation (DATE)'!A18</f>
        <v>Preferred Shareholders / Investors</v>
      </c>
      <c r="B18" s="24"/>
      <c r="C18" s="1"/>
      <c r="D18" s="24"/>
      <c r="E18" s="19"/>
      <c r="F18" s="19"/>
      <c r="G18" s="19"/>
      <c r="H18" s="19"/>
      <c r="I18" s="19"/>
      <c r="K18" s="19"/>
      <c r="L18" s="28"/>
      <c r="N18" s="19"/>
      <c r="O18" s="28"/>
    </row>
    <row r="19" spans="1:16" ht="15" customHeight="1">
      <c r="A19" s="1" t="str">
        <f>'Current Capitalisation (DATE)'!A19</f>
        <v>[Shareholder 1]</v>
      </c>
      <c r="B19" s="1"/>
      <c r="C19" s="1"/>
      <c r="D19" s="1"/>
      <c r="E19" s="19"/>
      <c r="F19" s="19">
        <f>'Current Capitalisation (DATE)'!$F$19</f>
        <v>2000</v>
      </c>
      <c r="G19" s="19">
        <f>'Current Capitalisation (DATE)'!G19-Secondary!I12</f>
        <v>8000</v>
      </c>
      <c r="H19" s="19"/>
      <c r="I19" s="19"/>
      <c r="K19" s="19">
        <f t="shared" si="0"/>
        <v>10000</v>
      </c>
      <c r="L19" s="28">
        <f ca="1">K19/$K$40</f>
        <v>7.1113133884697158E-2</v>
      </c>
      <c r="N19" s="19">
        <f t="shared" ref="N19:N38" si="1">SUM(C19:I19)</f>
        <v>10000</v>
      </c>
      <c r="O19" s="28">
        <f ca="1">N19/$N$40</f>
        <v>6.6391804595640716E-2</v>
      </c>
    </row>
    <row r="20" spans="1:16" ht="15" customHeight="1">
      <c r="A20" s="1" t="str">
        <f>'Current Capitalisation (DATE)'!A20</f>
        <v>[Shareholder 2]</v>
      </c>
      <c r="B20" s="1"/>
      <c r="C20" s="1"/>
      <c r="D20" s="1"/>
      <c r="E20" s="19"/>
      <c r="F20" s="19">
        <f>'Current Capitalisation (DATE)'!$F$20</f>
        <v>1000</v>
      </c>
      <c r="G20" s="19">
        <f>'Current Capitalisation (DATE)'!G20-Secondary!I13</f>
        <v>8000</v>
      </c>
      <c r="H20" s="19">
        <f>'Current Capitalisation (DATE)'!H20</f>
        <v>7000</v>
      </c>
      <c r="I20" s="19"/>
      <c r="K20" s="19">
        <f t="shared" si="0"/>
        <v>16000</v>
      </c>
      <c r="L20" s="28">
        <f ca="1">K20/$K$40</f>
        <v>0.11378101421551547</v>
      </c>
      <c r="N20" s="19">
        <f t="shared" si="1"/>
        <v>16000</v>
      </c>
      <c r="O20" s="28">
        <f ca="1">N20/$N$40</f>
        <v>0.10622688735302514</v>
      </c>
    </row>
    <row r="21" spans="1:16" ht="15" customHeight="1">
      <c r="A21" s="1" t="str">
        <f>'Current Capitalisation (DATE)'!A21</f>
        <v>[Shareholder 3]</v>
      </c>
      <c r="B21" s="1"/>
      <c r="C21" s="1"/>
      <c r="D21" s="1"/>
      <c r="E21" s="19"/>
      <c r="F21" s="19"/>
      <c r="G21" s="19">
        <f>'Current Capitalisation (DATE)'!G21</f>
        <v>9000</v>
      </c>
      <c r="H21" s="19">
        <f>'Current Capitalisation (DATE)'!H21</f>
        <v>7000</v>
      </c>
      <c r="I21" s="19"/>
      <c r="K21" s="19">
        <f t="shared" si="0"/>
        <v>16000</v>
      </c>
      <c r="L21" s="28">
        <f ca="1">K21/$K$40</f>
        <v>0.11378101421551547</v>
      </c>
      <c r="N21" s="19">
        <f t="shared" si="1"/>
        <v>16000</v>
      </c>
      <c r="O21" s="28">
        <f ca="1">N21/$N$40</f>
        <v>0.10622688735302514</v>
      </c>
    </row>
    <row r="22" spans="1:16" ht="15" customHeight="1">
      <c r="A22" s="1" t="str">
        <f>'Current Capitalisation (DATE)'!A22</f>
        <v>[Shareholder 4]</v>
      </c>
      <c r="B22" s="1"/>
      <c r="C22" s="1"/>
      <c r="D22" s="1"/>
      <c r="E22" s="19"/>
      <c r="F22" s="19"/>
      <c r="G22" s="19">
        <f>'Current Capitalisation (DATE)'!G22</f>
        <v>9000</v>
      </c>
      <c r="H22" s="19"/>
      <c r="I22" s="19"/>
      <c r="K22" s="19">
        <f t="shared" si="0"/>
        <v>9000</v>
      </c>
      <c r="L22" s="28">
        <f ca="1">K22/$K$40</f>
        <v>6.4001820496227449E-2</v>
      </c>
      <c r="N22" s="19">
        <f t="shared" si="1"/>
        <v>9000</v>
      </c>
      <c r="O22" s="28">
        <f ca="1">N22/$N$40</f>
        <v>5.975262413607664E-2</v>
      </c>
    </row>
    <row r="23" spans="1:16" ht="15" customHeight="1">
      <c r="A23" s="1"/>
      <c r="B23" s="1"/>
      <c r="C23" s="1"/>
      <c r="D23" s="1"/>
      <c r="E23" s="19"/>
      <c r="F23" s="19"/>
      <c r="G23" s="19"/>
      <c r="H23" s="19"/>
      <c r="I23" s="19"/>
      <c r="K23" s="19"/>
      <c r="L23" s="28"/>
      <c r="N23" s="19"/>
      <c r="O23" s="28"/>
    </row>
    <row r="24" spans="1:16" ht="14.25" customHeight="1">
      <c r="A24" s="1" t="str">
        <f>'CLA Conversion'!A24</f>
        <v>[Holder 1]</v>
      </c>
      <c r="B24" s="1"/>
      <c r="C24" s="1"/>
      <c r="D24" s="1"/>
      <c r="E24" s="19"/>
      <c r="G24" s="19"/>
      <c r="H24" s="19"/>
      <c r="I24" s="19">
        <f ca="1">'CLA Conversion'!M24+Warrant!E14</f>
        <v>2650</v>
      </c>
      <c r="K24" s="19">
        <f t="shared" ca="1" si="0"/>
        <v>2650</v>
      </c>
      <c r="L24" s="28">
        <f ca="1">K24/$K$40</f>
        <v>1.8844980479444749E-2</v>
      </c>
      <c r="N24" s="19">
        <f t="shared" ca="1" si="1"/>
        <v>2650</v>
      </c>
      <c r="O24" s="28">
        <f ca="1">N24/$N$40</f>
        <v>1.759382821784479E-2</v>
      </c>
    </row>
    <row r="25" spans="1:16" ht="15" customHeight="1">
      <c r="A25" s="1" t="str">
        <f>'CLA Conversion'!A25</f>
        <v>[Holder 2]</v>
      </c>
      <c r="B25" s="1"/>
      <c r="D25" s="1"/>
      <c r="E25" s="19"/>
      <c r="G25" s="19"/>
      <c r="H25" s="19"/>
      <c r="I25" s="19">
        <f ca="1">'CLA Conversion'!M25+Warrant!E15</f>
        <v>11182</v>
      </c>
      <c r="K25" s="19">
        <f t="shared" ca="1" si="0"/>
        <v>11182</v>
      </c>
      <c r="L25" s="28">
        <f ca="1">K25/$K$40</f>
        <v>7.9518706309868376E-2</v>
      </c>
      <c r="N25" s="19">
        <f t="shared" ca="1" si="1"/>
        <v>11182</v>
      </c>
      <c r="O25" s="28">
        <f ca="1">N25/$N$40</f>
        <v>7.4239315898845443E-2</v>
      </c>
    </row>
    <row r="26" spans="1:16" ht="15" customHeight="1">
      <c r="A26" s="1" t="str">
        <f>'CLA Conversion'!A26</f>
        <v>[Holder 3]</v>
      </c>
      <c r="B26" s="1"/>
      <c r="D26" s="1"/>
      <c r="E26" s="19"/>
      <c r="G26" s="19"/>
      <c r="H26" s="19"/>
      <c r="I26" s="19">
        <f ca="1">'CLA Conversion'!M26</f>
        <v>7252</v>
      </c>
      <c r="K26" s="19">
        <f t="shared" ca="1" si="0"/>
        <v>7252</v>
      </c>
      <c r="L26" s="28">
        <f ca="1">K26/$K$40</f>
        <v>5.1571244693182382E-2</v>
      </c>
      <c r="N26" s="19">
        <f t="shared" ca="1" si="1"/>
        <v>7252</v>
      </c>
      <c r="O26" s="28">
        <f ca="1">N26/$N$40</f>
        <v>4.8147336692758648E-2</v>
      </c>
    </row>
    <row r="27" spans="1:16" ht="15" customHeight="1">
      <c r="A27" s="1"/>
      <c r="B27" s="1"/>
      <c r="D27" s="1"/>
      <c r="E27" s="19"/>
      <c r="G27" s="19"/>
      <c r="H27" s="19"/>
      <c r="I27" s="19"/>
      <c r="K27" s="19"/>
      <c r="L27" s="28"/>
      <c r="N27" s="19"/>
      <c r="O27" s="28"/>
    </row>
    <row r="28" spans="1:16" ht="15" customHeight="1">
      <c r="A28" s="1" t="str">
        <f>Subscriptions!A19</f>
        <v>[Investor 1]</v>
      </c>
      <c r="B28" s="1"/>
      <c r="D28" s="1"/>
      <c r="E28" s="19"/>
      <c r="G28" s="19"/>
      <c r="H28" s="19"/>
      <c r="I28" s="19">
        <f ca="1">Subscriptions!G19</f>
        <v>6277</v>
      </c>
      <c r="K28" s="19">
        <f t="shared" ca="1" si="0"/>
        <v>6277</v>
      </c>
      <c r="L28" s="28">
        <f t="shared" ref="L28:L33" ca="1" si="2">K28/$K$40</f>
        <v>4.4637714139424411E-2</v>
      </c>
      <c r="N28" s="19">
        <f t="shared" ca="1" si="1"/>
        <v>6277</v>
      </c>
      <c r="O28" s="28">
        <f t="shared" ref="O28:O33" ca="1" si="3">N28/$N$40</f>
        <v>4.1674135744683677E-2</v>
      </c>
    </row>
    <row r="29" spans="1:16" ht="15" customHeight="1">
      <c r="A29" s="1" t="str">
        <f>Subscriptions!A20</f>
        <v>[Investor 2]</v>
      </c>
      <c r="B29" s="1"/>
      <c r="D29" s="1"/>
      <c r="E29" s="19"/>
      <c r="G29" s="19"/>
      <c r="H29" s="19"/>
      <c r="I29" s="19">
        <f ca="1">Subscriptions!G20</f>
        <v>6277</v>
      </c>
      <c r="K29" s="19">
        <f t="shared" ca="1" si="0"/>
        <v>6277</v>
      </c>
      <c r="L29" s="28">
        <f t="shared" ca="1" si="2"/>
        <v>4.4637714139424411E-2</v>
      </c>
      <c r="N29" s="19">
        <f t="shared" ca="1" si="1"/>
        <v>6277</v>
      </c>
      <c r="O29" s="28">
        <f t="shared" ca="1" si="3"/>
        <v>4.1674135744683677E-2</v>
      </c>
    </row>
    <row r="30" spans="1:16" ht="15" customHeight="1">
      <c r="A30" s="1" t="str">
        <f>Subscriptions!A21</f>
        <v>[Investor 3]</v>
      </c>
      <c r="B30" s="1"/>
      <c r="D30" s="1"/>
      <c r="E30" s="19"/>
      <c r="G30" s="19"/>
      <c r="H30" s="19"/>
      <c r="I30" s="19">
        <f ca="1">Subscriptions!G21</f>
        <v>3138</v>
      </c>
      <c r="K30" s="19">
        <f t="shared" ca="1" si="0"/>
        <v>3138</v>
      </c>
      <c r="L30" s="28">
        <f t="shared" ca="1" si="2"/>
        <v>2.231530141301797E-2</v>
      </c>
      <c r="N30" s="19">
        <f t="shared" ca="1" si="1"/>
        <v>3138</v>
      </c>
      <c r="O30" s="28">
        <f t="shared" ca="1" si="3"/>
        <v>2.0833748282112055E-2</v>
      </c>
    </row>
    <row r="31" spans="1:16" ht="15" customHeight="1">
      <c r="A31" s="1" t="str">
        <f>Subscriptions!A22</f>
        <v>[Investor 4]</v>
      </c>
      <c r="B31" s="1"/>
      <c r="D31" s="1"/>
      <c r="E31" s="19"/>
      <c r="G31" s="19"/>
      <c r="H31" s="19"/>
      <c r="I31" s="19">
        <f ca="1">Subscriptions!G22</f>
        <v>1569</v>
      </c>
      <c r="K31" s="19">
        <f t="shared" ca="1" si="0"/>
        <v>1569</v>
      </c>
      <c r="L31" s="28">
        <f t="shared" ca="1" si="2"/>
        <v>1.1157650706508985E-2</v>
      </c>
      <c r="N31" s="19">
        <f t="shared" ca="1" si="1"/>
        <v>1569</v>
      </c>
      <c r="O31" s="28">
        <f t="shared" ca="1" si="3"/>
        <v>1.0416874141056028E-2</v>
      </c>
    </row>
    <row r="32" spans="1:16" ht="15" customHeight="1">
      <c r="A32" s="1" t="str">
        <f>Subscriptions!A26</f>
        <v>[Investor 5]</v>
      </c>
      <c r="B32" s="1"/>
      <c r="D32" s="1"/>
      <c r="E32" s="19"/>
      <c r="G32" s="19"/>
      <c r="H32" s="19"/>
      <c r="I32" s="19">
        <f ca="1">Subscriptions!G26</f>
        <v>3138</v>
      </c>
      <c r="K32" s="19">
        <f t="shared" ca="1" si="0"/>
        <v>3138</v>
      </c>
      <c r="L32" s="28">
        <f t="shared" ca="1" si="2"/>
        <v>2.231530141301797E-2</v>
      </c>
      <c r="N32" s="19">
        <f t="shared" ca="1" si="1"/>
        <v>3138</v>
      </c>
      <c r="O32" s="28">
        <f t="shared" ca="1" si="3"/>
        <v>2.0833748282112055E-2</v>
      </c>
    </row>
    <row r="33" spans="1:16" ht="15" customHeight="1">
      <c r="A33" s="1" t="str">
        <f>Subscriptions!A27</f>
        <v>[Investor 6]</v>
      </c>
      <c r="B33" s="1"/>
      <c r="D33" s="1"/>
      <c r="E33" s="19"/>
      <c r="G33" s="19"/>
      <c r="H33" s="19"/>
      <c r="I33" s="19">
        <f ca="1">Subscriptions!G27</f>
        <v>3138</v>
      </c>
      <c r="K33" s="19">
        <f t="shared" ca="1" si="0"/>
        <v>3138</v>
      </c>
      <c r="L33" s="28">
        <f t="shared" ca="1" si="2"/>
        <v>2.231530141301797E-2</v>
      </c>
      <c r="N33" s="19">
        <f t="shared" ca="1" si="1"/>
        <v>3138</v>
      </c>
      <c r="O33" s="28">
        <f t="shared" ca="1" si="3"/>
        <v>2.0833748282112055E-2</v>
      </c>
    </row>
    <row r="34" spans="1:16" ht="15" customHeight="1">
      <c r="A34" s="1"/>
      <c r="B34" s="1"/>
      <c r="D34" s="1"/>
      <c r="E34" s="19"/>
      <c r="G34" s="19"/>
      <c r="H34" s="19"/>
      <c r="I34" s="19"/>
      <c r="K34" s="19"/>
      <c r="L34" s="28"/>
      <c r="N34" s="19"/>
      <c r="O34" s="28"/>
      <c r="P34" s="74">
        <f ca="1">SUM(O19:O33)</f>
        <v>0.63484507472397611</v>
      </c>
    </row>
    <row r="35" spans="1:16" ht="15" customHeight="1">
      <c r="A35" s="1"/>
      <c r="B35" s="1"/>
      <c r="D35" s="1"/>
      <c r="E35" s="19"/>
      <c r="G35" s="19"/>
      <c r="H35" s="19"/>
      <c r="I35" s="19"/>
      <c r="K35" s="19"/>
      <c r="L35" s="28"/>
      <c r="N35" s="19"/>
      <c r="O35" s="28"/>
    </row>
    <row r="36" spans="1:16" ht="15" customHeight="1">
      <c r="A36" s="89" t="str">
        <f>'Current Capitalisation (DATE)'!A24</f>
        <v>ESOP</v>
      </c>
      <c r="B36" s="1"/>
      <c r="D36" s="1"/>
      <c r="E36" s="19"/>
      <c r="G36" s="19"/>
      <c r="H36" s="19"/>
      <c r="I36" s="19"/>
      <c r="K36" s="19"/>
      <c r="L36" s="28"/>
      <c r="N36" s="19"/>
      <c r="O36" s="28"/>
    </row>
    <row r="37" spans="1:16" ht="15" customHeight="1">
      <c r="A37" s="1" t="str">
        <f>'Current Capitalisation (DATE)'!A25</f>
        <v>Allocated</v>
      </c>
      <c r="B37" s="1"/>
      <c r="C37" s="43">
        <f>'Current Capitalisation (DATE)'!C25</f>
        <v>7500</v>
      </c>
      <c r="D37" s="1"/>
      <c r="E37" s="19"/>
      <c r="G37" s="19"/>
      <c r="H37" s="19"/>
      <c r="I37" s="19"/>
      <c r="K37" s="19"/>
      <c r="L37" s="28"/>
      <c r="N37" s="43">
        <f t="shared" si="1"/>
        <v>7500</v>
      </c>
      <c r="O37" s="140">
        <f ca="1">N37/$N$40</f>
        <v>4.9793853446730534E-2</v>
      </c>
    </row>
    <row r="38" spans="1:16" ht="15" customHeight="1">
      <c r="A38" s="1" t="str">
        <f>'Current Capitalisation (DATE)'!A26</f>
        <v>Unallocated</v>
      </c>
      <c r="B38" s="21"/>
      <c r="C38" s="43">
        <f>Subscriptions!C40</f>
        <v>2500</v>
      </c>
      <c r="D38" s="21"/>
      <c r="E38" s="19"/>
      <c r="G38" s="19"/>
      <c r="H38" s="19"/>
      <c r="I38" s="19"/>
      <c r="K38" s="19"/>
      <c r="L38" s="28"/>
      <c r="N38" s="43">
        <f t="shared" si="1"/>
        <v>2500</v>
      </c>
      <c r="O38" s="140">
        <f ca="1">N38/$N$40</f>
        <v>1.6597951148910179E-2</v>
      </c>
    </row>
    <row r="39" spans="1:16" ht="15" customHeight="1">
      <c r="A39" s="1"/>
      <c r="B39" s="1"/>
      <c r="C39" s="1"/>
      <c r="D39" s="1"/>
      <c r="E39" s="26"/>
      <c r="F39" s="25"/>
      <c r="G39" s="25"/>
      <c r="H39" s="27"/>
      <c r="I39" s="27"/>
      <c r="J39" s="5"/>
      <c r="K39" s="5"/>
      <c r="L39" s="5"/>
      <c r="M39" s="5"/>
      <c r="N39" s="26"/>
      <c r="O39" s="6"/>
      <c r="P39" s="74">
        <f ca="1">SUM(O37:O38)</f>
        <v>6.6391804595640716E-2</v>
      </c>
    </row>
    <row r="40" spans="1:16" ht="15" customHeight="1" thickBot="1">
      <c r="A40" s="7" t="s">
        <v>8</v>
      </c>
      <c r="B40" s="7"/>
      <c r="C40" s="32">
        <f>SUM(C11:C39)</f>
        <v>10000</v>
      </c>
      <c r="D40" s="7"/>
      <c r="E40" s="32">
        <f>SUM(E11:E39)</f>
        <v>45000</v>
      </c>
      <c r="F40" s="32">
        <f>SUM(F11:F39)</f>
        <v>3000</v>
      </c>
      <c r="G40" s="32">
        <f>SUM(G11:G39)</f>
        <v>34000</v>
      </c>
      <c r="H40" s="32">
        <f>SUM(H11:H39)</f>
        <v>14000</v>
      </c>
      <c r="I40" s="32">
        <f ca="1">SUM(I11:I39)</f>
        <v>44621</v>
      </c>
      <c r="J40" s="22"/>
      <c r="K40" s="32">
        <f ca="1">SUM(K11:K39)</f>
        <v>140621</v>
      </c>
      <c r="L40" s="8">
        <f ca="1">SUM(L11:L39)</f>
        <v>1</v>
      </c>
      <c r="M40" s="22"/>
      <c r="N40" s="32">
        <f ca="1">SUM(N11:N38)</f>
        <v>150621</v>
      </c>
      <c r="O40" s="8">
        <f ca="1">SUM(O11:O38)</f>
        <v>1</v>
      </c>
    </row>
    <row r="41" spans="1:16" ht="15" customHeight="1">
      <c r="A41" s="10"/>
      <c r="B41" s="10"/>
      <c r="C41" s="10"/>
      <c r="D41" s="10"/>
      <c r="E41" s="10"/>
      <c r="F41" s="11"/>
      <c r="G41" s="11"/>
      <c r="H41" s="11"/>
      <c r="I41" s="11"/>
      <c r="J41" s="11"/>
      <c r="K41" s="11"/>
      <c r="L41" s="11"/>
      <c r="M41" s="11"/>
      <c r="N41" s="11"/>
      <c r="O41" s="9"/>
    </row>
    <row r="43" spans="1:16" ht="15" customHeight="1">
      <c r="A43" s="1"/>
    </row>
    <row r="44" spans="1:16" ht="15" customHeight="1">
      <c r="A44" s="13"/>
      <c r="B44" s="13"/>
      <c r="C44" s="13"/>
      <c r="D44" s="13"/>
      <c r="E44" s="13"/>
      <c r="F44" s="13"/>
      <c r="G44" s="13"/>
      <c r="H44" s="13"/>
      <c r="I44" s="13"/>
      <c r="J44" s="13"/>
      <c r="K44" s="13"/>
      <c r="L44" s="13"/>
      <c r="M44" s="13"/>
      <c r="N44" s="13"/>
    </row>
    <row r="46" spans="1:16" ht="15" customHeight="1">
      <c r="O46" s="9"/>
    </row>
    <row r="47" spans="1:16" ht="15" customHeight="1">
      <c r="O47" s="9"/>
    </row>
    <row r="48" spans="1:16" ht="15" customHeight="1">
      <c r="O48" s="9"/>
    </row>
    <row r="49" spans="15:15" ht="15" customHeight="1">
      <c r="O49" s="1"/>
    </row>
  </sheetData>
  <mergeCells count="4">
    <mergeCell ref="J1:O5"/>
    <mergeCell ref="A7:A8"/>
    <mergeCell ref="K7:L7"/>
    <mergeCell ref="N7:O7"/>
  </mergeCells>
  <pageMargins left="0.7" right="0.7" top="0.78740157499999996" bottom="0.78740157499999996" header="0.3" footer="0.3"/>
  <pageSetup paperSize="8" scale="6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30EE3-E53D-400F-984E-B5232735D93D}">
  <sheetPr>
    <tabColor rgb="FF003145"/>
    <pageSetUpPr fitToPage="1"/>
  </sheetPr>
  <dimension ref="A1:X274"/>
  <sheetViews>
    <sheetView zoomScale="80" zoomScaleNormal="80" workbookViewId="0">
      <pane ySplit="5" topLeftCell="A6" activePane="bottomLeft" state="frozen"/>
      <selection pane="bottomLeft" activeCell="E42" sqref="E42"/>
    </sheetView>
  </sheetViews>
  <sheetFormatPr defaultColWidth="11.42578125" defaultRowHeight="15" customHeight="1"/>
  <cols>
    <col min="1" max="1" width="43.5703125" style="108" customWidth="1"/>
    <col min="2" max="2" width="22.7109375" style="108" customWidth="1"/>
    <col min="3" max="3" width="25.7109375" style="108" customWidth="1"/>
    <col min="4" max="4" width="21.85546875" style="108" customWidth="1"/>
    <col min="5" max="5" width="25.7109375" style="108" customWidth="1"/>
    <col min="6" max="6" width="20.5703125" style="108" customWidth="1"/>
    <col min="7" max="7" width="25.7109375" style="108" customWidth="1"/>
    <col min="8" max="8" width="23.85546875" style="108" customWidth="1"/>
    <col min="9" max="9" width="2.7109375" style="108" customWidth="1"/>
    <col min="10" max="10" width="13.5703125" style="108" customWidth="1"/>
    <col min="11" max="11" width="11.5703125" style="108" customWidth="1"/>
    <col min="12" max="12" width="2.7109375" style="108" customWidth="1"/>
    <col min="13" max="13" width="15" style="108" customWidth="1"/>
    <col min="14" max="14" width="13.140625" style="108" customWidth="1"/>
    <col min="15" max="15" width="25.7109375" style="108" customWidth="1"/>
    <col min="16" max="16" width="1.7109375" style="108" customWidth="1"/>
    <col min="17" max="17" width="25.7109375" style="108" customWidth="1"/>
    <col min="18" max="18" width="1.7109375" style="108" customWidth="1"/>
    <col min="19" max="19" width="15.7109375" style="108" customWidth="1"/>
    <col min="20" max="20" width="11.42578125" style="108"/>
    <col min="21" max="21" width="1.85546875" style="108" customWidth="1"/>
    <col min="22" max="22" width="13.42578125" style="108" customWidth="1"/>
    <col min="23" max="23" width="15.140625" style="108" customWidth="1"/>
    <col min="24" max="16384" width="11.42578125" style="108"/>
  </cols>
  <sheetData>
    <row r="1" spans="1:23" ht="18" customHeight="1">
      <c r="A1" s="15"/>
      <c r="B1" s="15"/>
      <c r="C1" s="143"/>
      <c r="D1" s="143"/>
      <c r="E1" s="15"/>
      <c r="F1" s="15"/>
      <c r="G1" s="15"/>
      <c r="H1" s="15"/>
      <c r="I1" s="15"/>
      <c r="J1" s="15"/>
      <c r="K1" s="15"/>
      <c r="L1" s="15"/>
      <c r="M1" s="15"/>
      <c r="N1" s="15"/>
      <c r="O1" s="143"/>
      <c r="P1" s="143"/>
      <c r="Q1" s="143"/>
      <c r="R1" s="253"/>
      <c r="S1" s="253"/>
      <c r="T1" s="253"/>
      <c r="U1" s="253"/>
      <c r="V1" s="253"/>
      <c r="W1" s="253"/>
    </row>
    <row r="2" spans="1:23" ht="15" customHeight="1">
      <c r="A2" s="15"/>
      <c r="B2" s="143"/>
      <c r="C2" s="143"/>
      <c r="D2" s="143"/>
      <c r="E2" s="15"/>
      <c r="F2" s="15"/>
      <c r="G2" s="15"/>
      <c r="H2" s="15"/>
      <c r="I2" s="15"/>
      <c r="J2" s="15"/>
      <c r="K2" s="15"/>
      <c r="L2" s="15"/>
      <c r="M2" s="15"/>
      <c r="N2" s="15"/>
      <c r="O2" s="143"/>
      <c r="P2" s="143"/>
      <c r="Q2" s="143"/>
      <c r="R2" s="253"/>
      <c r="S2" s="253"/>
      <c r="T2" s="253"/>
      <c r="U2" s="253"/>
      <c r="V2" s="253"/>
      <c r="W2" s="253"/>
    </row>
    <row r="3" spans="1:23" ht="15" customHeight="1">
      <c r="A3" s="15"/>
      <c r="B3" s="143"/>
      <c r="C3" s="143"/>
      <c r="D3" s="143"/>
      <c r="E3" s="16" t="s">
        <v>4</v>
      </c>
      <c r="F3" s="16" t="s">
        <v>4</v>
      </c>
      <c r="G3" s="16" t="s">
        <v>4</v>
      </c>
      <c r="H3" s="16" t="s">
        <v>4</v>
      </c>
      <c r="I3" s="16"/>
      <c r="J3" s="16" t="s">
        <v>4</v>
      </c>
      <c r="K3" s="16" t="s">
        <v>4</v>
      </c>
      <c r="L3" s="16"/>
      <c r="M3" s="16" t="s">
        <v>4</v>
      </c>
      <c r="N3" s="16" t="s">
        <v>4</v>
      </c>
      <c r="O3" s="143"/>
      <c r="P3" s="143"/>
      <c r="Q3" s="143"/>
      <c r="R3" s="253"/>
      <c r="S3" s="253"/>
      <c r="T3" s="253"/>
      <c r="U3" s="253"/>
      <c r="V3" s="253"/>
      <c r="W3" s="253"/>
    </row>
    <row r="4" spans="1:23" ht="15" customHeight="1">
      <c r="A4" s="15"/>
      <c r="B4" s="143"/>
      <c r="C4" s="143"/>
      <c r="D4" s="143"/>
      <c r="E4" s="15"/>
      <c r="F4" s="15"/>
      <c r="G4" s="15"/>
      <c r="H4" s="15"/>
      <c r="I4" s="15"/>
      <c r="J4" s="15"/>
      <c r="K4" s="15"/>
      <c r="L4" s="15"/>
      <c r="M4" s="15"/>
      <c r="N4" s="15"/>
      <c r="O4" s="143"/>
      <c r="P4" s="143"/>
      <c r="Q4" s="143"/>
      <c r="R4" s="253"/>
      <c r="S4" s="253"/>
      <c r="T4" s="253"/>
      <c r="U4" s="253"/>
      <c r="V4" s="253"/>
      <c r="W4" s="253"/>
    </row>
    <row r="5" spans="1:23" ht="15" customHeight="1">
      <c r="A5" s="15"/>
      <c r="B5" s="15"/>
      <c r="C5" s="143"/>
      <c r="D5" s="143"/>
      <c r="E5" s="15"/>
      <c r="F5" s="15"/>
      <c r="G5" s="15"/>
      <c r="H5" s="15"/>
      <c r="I5" s="15"/>
      <c r="J5" s="15"/>
      <c r="K5" s="15"/>
      <c r="L5" s="15"/>
      <c r="M5" s="15"/>
      <c r="N5" s="15"/>
      <c r="O5" s="143"/>
      <c r="P5" s="143"/>
      <c r="Q5" s="143"/>
      <c r="R5" s="253"/>
      <c r="S5" s="253"/>
      <c r="T5" s="253"/>
      <c r="U5" s="253"/>
      <c r="V5" s="253"/>
      <c r="W5" s="253"/>
    </row>
    <row r="6" spans="1:23" ht="15.6" customHeight="1">
      <c r="G6" s="14"/>
      <c r="H6" s="14"/>
      <c r="I6" s="14"/>
      <c r="J6" s="14"/>
      <c r="K6" s="14"/>
      <c r="L6" s="14"/>
      <c r="M6" s="14"/>
    </row>
    <row r="7" spans="1:23" ht="15" customHeight="1">
      <c r="A7" s="108" t="s">
        <v>63</v>
      </c>
      <c r="C7" s="144">
        <f ca="1">Subscriptions!C10</f>
        <v>47498888.200000003</v>
      </c>
      <c r="G7" s="14"/>
      <c r="H7" s="14"/>
      <c r="I7" s="14"/>
      <c r="J7" s="14"/>
      <c r="K7" s="14"/>
      <c r="L7" s="14"/>
      <c r="M7" s="14"/>
    </row>
    <row r="8" spans="1:23" ht="15" customHeight="1">
      <c r="A8" s="42" t="s">
        <v>174</v>
      </c>
      <c r="C8" s="146">
        <f ca="1">'Post Completion'!N40</f>
        <v>150621</v>
      </c>
      <c r="G8" s="14"/>
      <c r="H8" s="14"/>
      <c r="I8" s="14"/>
      <c r="J8" s="14"/>
      <c r="K8" s="14"/>
      <c r="L8" s="14"/>
      <c r="M8" s="14"/>
    </row>
    <row r="9" spans="1:23" ht="15" customHeight="1">
      <c r="A9" s="108" t="s">
        <v>131</v>
      </c>
      <c r="C9" s="144">
        <f ca="1">Subscriptions!C12</f>
        <v>318.60000000000002</v>
      </c>
      <c r="G9" s="14"/>
      <c r="H9" s="14"/>
      <c r="I9" s="14"/>
      <c r="J9" s="14"/>
      <c r="K9" s="14"/>
      <c r="L9" s="14"/>
      <c r="M9" s="14"/>
    </row>
    <row r="10" spans="1:23" ht="15" customHeight="1">
      <c r="G10" s="14"/>
      <c r="H10" s="14"/>
      <c r="I10" s="14"/>
      <c r="J10" s="14"/>
      <c r="K10" s="14"/>
      <c r="L10" s="14"/>
      <c r="M10" s="14"/>
      <c r="V10" s="145"/>
      <c r="W10" s="145"/>
    </row>
    <row r="11" spans="1:23" s="14" customFormat="1" ht="15" customHeight="1">
      <c r="A11" s="261" t="s">
        <v>140</v>
      </c>
      <c r="B11" s="262" t="s">
        <v>141</v>
      </c>
      <c r="C11" s="262" t="s">
        <v>142</v>
      </c>
      <c r="D11" s="262" t="s">
        <v>143</v>
      </c>
      <c r="E11" s="263" t="s">
        <v>144</v>
      </c>
    </row>
    <row r="12" spans="1:23" ht="15" customHeight="1">
      <c r="A12" s="272"/>
      <c r="B12" s="254"/>
      <c r="C12" s="254"/>
      <c r="D12" s="254"/>
      <c r="E12" s="271"/>
      <c r="F12" s="152"/>
      <c r="H12" s="152"/>
      <c r="I12" s="152"/>
      <c r="K12" s="14"/>
      <c r="L12" s="152"/>
      <c r="M12" s="14"/>
    </row>
    <row r="13" spans="1:23" ht="15" customHeight="1">
      <c r="A13" s="179" t="s">
        <v>127</v>
      </c>
      <c r="B13" s="144">
        <v>35000000</v>
      </c>
      <c r="C13" s="144">
        <v>30000000</v>
      </c>
      <c r="D13" s="144">
        <v>20000000</v>
      </c>
      <c r="E13" s="169">
        <v>15000000</v>
      </c>
      <c r="F13" s="252" t="s">
        <v>173</v>
      </c>
      <c r="H13" s="14"/>
      <c r="I13" s="14"/>
      <c r="K13" s="14"/>
      <c r="L13" s="14"/>
      <c r="V13" s="145"/>
      <c r="W13" s="145"/>
    </row>
    <row r="14" spans="1:23" ht="15" customHeight="1">
      <c r="A14" s="179" t="s">
        <v>128</v>
      </c>
      <c r="B14" s="144">
        <f ca="1">SUM(B13/$C$8)</f>
        <v>232.37131608474249</v>
      </c>
      <c r="C14" s="144">
        <f ca="1">SUM(C13/$C$8)</f>
        <v>199.17541378692215</v>
      </c>
      <c r="D14" s="144">
        <f ca="1">SUM(D13/$C$8)</f>
        <v>132.78360919128141</v>
      </c>
      <c r="E14" s="169">
        <f ca="1">SUM(E13/$C$8)</f>
        <v>99.587706893461075</v>
      </c>
      <c r="F14" s="144"/>
      <c r="H14" s="144"/>
      <c r="I14" s="144"/>
      <c r="K14" s="14"/>
      <c r="L14" s="144"/>
      <c r="M14" s="14"/>
      <c r="V14" s="145"/>
      <c r="W14" s="145"/>
    </row>
    <row r="15" spans="1:23" ht="15" customHeight="1">
      <c r="A15" s="179" t="s">
        <v>136</v>
      </c>
      <c r="B15" s="144"/>
      <c r="C15" s="87"/>
      <c r="D15" s="14"/>
      <c r="E15" s="207"/>
      <c r="H15" s="14"/>
      <c r="I15" s="14"/>
      <c r="K15" s="14"/>
      <c r="L15" s="14"/>
      <c r="M15" s="14"/>
      <c r="V15" s="145"/>
      <c r="W15" s="145"/>
    </row>
    <row r="16" spans="1:23" ht="14.25">
      <c r="A16" s="159" t="s">
        <v>137</v>
      </c>
      <c r="B16" s="144">
        <v>5000000</v>
      </c>
      <c r="C16" s="144">
        <v>5000000</v>
      </c>
      <c r="D16" s="144">
        <v>5000000</v>
      </c>
      <c r="E16" s="169">
        <v>5000000</v>
      </c>
      <c r="F16" s="144"/>
      <c r="H16" s="144"/>
      <c r="I16" s="144"/>
      <c r="K16" s="14"/>
      <c r="L16" s="144"/>
      <c r="M16" s="154"/>
      <c r="V16" s="145"/>
      <c r="W16" s="145"/>
    </row>
    <row r="17" spans="1:23" ht="15" customHeight="1">
      <c r="A17" s="159" t="s">
        <v>138</v>
      </c>
      <c r="B17" s="144">
        <f ca="1">ROUNDUP(B18*B14,2)</f>
        <v>4999933.6099999994</v>
      </c>
      <c r="C17" s="144">
        <f ca="1">ROUNDUP(C18*C14,2)</f>
        <v>4999900.42</v>
      </c>
      <c r="D17" s="144">
        <f ca="1">ROUNDUP(D18*D14,2)</f>
        <v>4999966.8099999996</v>
      </c>
      <c r="E17" s="169">
        <f ca="1">ROUNDUP(E18*E14,2)</f>
        <v>5000000</v>
      </c>
      <c r="F17" s="144"/>
      <c r="H17" s="144"/>
      <c r="I17" s="144"/>
      <c r="K17" s="14"/>
      <c r="L17" s="144"/>
      <c r="M17" s="14"/>
      <c r="V17" s="145"/>
      <c r="W17" s="145"/>
    </row>
    <row r="18" spans="1:23" ht="15" customHeight="1">
      <c r="A18" s="159" t="s">
        <v>139</v>
      </c>
      <c r="B18" s="163">
        <f ca="1">ROUNDDOWN(B16/B14,0)</f>
        <v>21517</v>
      </c>
      <c r="C18" s="163">
        <f ca="1">ROUNDDOWN(C16/C14,0)</f>
        <v>25103</v>
      </c>
      <c r="D18" s="163">
        <f ca="1">ROUNDDOWN(D16/D14,0)</f>
        <v>37655</v>
      </c>
      <c r="E18" s="208">
        <f ca="1">ROUNDDOWN(E16/E14,0)</f>
        <v>50207</v>
      </c>
      <c r="F18" s="170"/>
      <c r="H18" s="170"/>
      <c r="I18" s="170"/>
      <c r="K18" s="14"/>
      <c r="L18" s="170"/>
      <c r="M18" s="14"/>
      <c r="V18" s="145"/>
      <c r="W18" s="145"/>
    </row>
    <row r="19" spans="1:23" ht="15" customHeight="1">
      <c r="A19" s="159"/>
      <c r="B19" s="163"/>
      <c r="C19" s="163"/>
      <c r="D19" s="163"/>
      <c r="E19" s="208"/>
      <c r="F19" s="170"/>
      <c r="H19" s="170"/>
      <c r="I19" s="170"/>
      <c r="K19" s="14"/>
      <c r="L19" s="170"/>
      <c r="M19" s="14"/>
      <c r="V19" s="145"/>
      <c r="W19" s="145"/>
    </row>
    <row r="20" spans="1:23" ht="15" customHeight="1">
      <c r="A20" s="209" t="s">
        <v>158</v>
      </c>
      <c r="B20" s="163"/>
      <c r="C20" s="163"/>
      <c r="D20" s="163"/>
      <c r="E20" s="208"/>
      <c r="F20" s="170"/>
      <c r="H20" s="170"/>
      <c r="I20" s="170"/>
      <c r="K20" s="14"/>
      <c r="L20" s="170"/>
      <c r="M20" s="14"/>
      <c r="V20" s="145"/>
      <c r="W20" s="145"/>
    </row>
    <row r="21" spans="1:23" ht="14.25">
      <c r="A21" s="159" t="s">
        <v>146</v>
      </c>
      <c r="B21" s="210" t="str">
        <f t="shared" ref="B21:E26" ca="1" si="0">IF(B$14&lt;$C33,"YES","NO")</f>
        <v>NO</v>
      </c>
      <c r="C21" s="210" t="str">
        <f t="shared" ca="1" si="0"/>
        <v>NO</v>
      </c>
      <c r="D21" s="210" t="str">
        <f t="shared" ca="1" si="0"/>
        <v>NO</v>
      </c>
      <c r="E21" s="211" t="str">
        <f t="shared" ca="1" si="0"/>
        <v>YES</v>
      </c>
      <c r="F21" s="171"/>
      <c r="H21" s="171"/>
      <c r="I21" s="171"/>
      <c r="K21" s="14"/>
      <c r="L21" s="171"/>
      <c r="M21" s="154"/>
      <c r="V21" s="145"/>
      <c r="W21" s="145"/>
    </row>
    <row r="22" spans="1:23" ht="15" customHeight="1">
      <c r="A22" s="159" t="s">
        <v>147</v>
      </c>
      <c r="B22" s="212" t="str">
        <f t="shared" ca="1" si="0"/>
        <v>NO</v>
      </c>
      <c r="C22" s="212" t="str">
        <f t="shared" ca="1" si="0"/>
        <v>NO</v>
      </c>
      <c r="D22" s="212" t="str">
        <f t="shared" ca="1" si="0"/>
        <v>YES</v>
      </c>
      <c r="E22" s="213" t="str">
        <f t="shared" ca="1" si="0"/>
        <v>YES</v>
      </c>
      <c r="F22" s="147"/>
      <c r="H22" s="147"/>
      <c r="I22" s="147"/>
      <c r="K22" s="14"/>
      <c r="L22" s="147"/>
      <c r="M22" s="14"/>
      <c r="V22" s="145"/>
      <c r="W22" s="145"/>
    </row>
    <row r="23" spans="1:23" ht="15" customHeight="1">
      <c r="A23" s="159" t="s">
        <v>148</v>
      </c>
      <c r="B23" s="212" t="str">
        <f t="shared" ca="1" si="0"/>
        <v>NO</v>
      </c>
      <c r="C23" s="212" t="str">
        <f t="shared" ca="1" si="0"/>
        <v>YES</v>
      </c>
      <c r="D23" s="212" t="str">
        <f t="shared" ca="1" si="0"/>
        <v>YES</v>
      </c>
      <c r="E23" s="213" t="str">
        <f t="shared" ca="1" si="0"/>
        <v>YES</v>
      </c>
      <c r="F23" s="147"/>
      <c r="H23" s="147"/>
      <c r="I23" s="147"/>
      <c r="K23" s="14"/>
      <c r="L23" s="147"/>
      <c r="M23" s="14"/>
      <c r="V23" s="145"/>
      <c r="W23" s="145"/>
    </row>
    <row r="24" spans="1:23" ht="15" customHeight="1">
      <c r="A24" s="159" t="s">
        <v>149</v>
      </c>
      <c r="B24" s="212" t="str">
        <f t="shared" ca="1" si="0"/>
        <v>YES</v>
      </c>
      <c r="C24" s="212" t="str">
        <f t="shared" ca="1" si="0"/>
        <v>YES</v>
      </c>
      <c r="D24" s="212" t="str">
        <f t="shared" ca="1" si="0"/>
        <v>YES</v>
      </c>
      <c r="E24" s="213" t="str">
        <f t="shared" ca="1" si="0"/>
        <v>YES</v>
      </c>
      <c r="F24" s="147"/>
      <c r="H24" s="147"/>
      <c r="I24" s="147"/>
      <c r="K24" s="14"/>
      <c r="L24" s="147"/>
      <c r="M24" s="14"/>
      <c r="V24" s="145"/>
      <c r="W24" s="145"/>
    </row>
    <row r="25" spans="1:23" ht="15" customHeight="1">
      <c r="A25" s="159" t="s">
        <v>150</v>
      </c>
      <c r="B25" s="212" t="str">
        <f t="shared" ca="1" si="0"/>
        <v>YES</v>
      </c>
      <c r="C25" s="212" t="str">
        <f t="shared" ca="1" si="0"/>
        <v>YES</v>
      </c>
      <c r="D25" s="212" t="str">
        <f t="shared" ca="1" si="0"/>
        <v>YES</v>
      </c>
      <c r="E25" s="213" t="str">
        <f t="shared" ca="1" si="0"/>
        <v>YES</v>
      </c>
      <c r="F25" s="147"/>
      <c r="H25" s="147"/>
      <c r="I25" s="147"/>
      <c r="K25" s="14"/>
      <c r="L25" s="147"/>
      <c r="M25" s="14"/>
      <c r="V25" s="145"/>
      <c r="W25" s="145"/>
    </row>
    <row r="26" spans="1:23" ht="15" customHeight="1">
      <c r="A26" s="214" t="s">
        <v>151</v>
      </c>
      <c r="B26" s="215" t="str">
        <f t="shared" ca="1" si="0"/>
        <v>YES</v>
      </c>
      <c r="C26" s="215" t="str">
        <f t="shared" ca="1" si="0"/>
        <v>YES</v>
      </c>
      <c r="D26" s="215" t="str">
        <f t="shared" ca="1" si="0"/>
        <v>YES</v>
      </c>
      <c r="E26" s="216" t="str">
        <f t="shared" ca="1" si="0"/>
        <v>YES</v>
      </c>
      <c r="F26" s="147"/>
      <c r="H26" s="147"/>
      <c r="I26" s="147"/>
      <c r="K26" s="14"/>
      <c r="L26" s="147"/>
      <c r="M26" s="14"/>
      <c r="V26" s="145"/>
      <c r="W26" s="145"/>
    </row>
    <row r="27" spans="1:23" ht="15" customHeight="1">
      <c r="A27" s="141"/>
      <c r="B27" s="146"/>
      <c r="D27" s="147"/>
      <c r="E27" s="146"/>
      <c r="F27" s="146"/>
      <c r="G27" s="146"/>
      <c r="H27" s="146"/>
      <c r="I27" s="146"/>
      <c r="J27" s="146"/>
      <c r="K27" s="14"/>
      <c r="L27" s="146"/>
      <c r="M27" s="14"/>
      <c r="V27" s="145"/>
      <c r="W27" s="145"/>
    </row>
    <row r="28" spans="1:23" ht="15" customHeight="1">
      <c r="A28" s="141"/>
      <c r="C28" s="146"/>
      <c r="D28" s="147"/>
      <c r="E28" s="146"/>
      <c r="F28" s="146"/>
      <c r="G28" s="146"/>
      <c r="H28" s="146"/>
      <c r="I28" s="146"/>
      <c r="J28" s="146"/>
      <c r="K28" s="14"/>
      <c r="L28" s="146"/>
      <c r="M28" s="14"/>
      <c r="V28" s="145"/>
      <c r="W28" s="145"/>
    </row>
    <row r="29" spans="1:23" ht="32.25" customHeight="1">
      <c r="A29" s="261" t="s">
        <v>145</v>
      </c>
      <c r="B29" s="262"/>
      <c r="C29" s="262"/>
      <c r="D29" s="262"/>
      <c r="E29" s="262"/>
      <c r="F29" s="262"/>
      <c r="G29" s="263"/>
      <c r="H29" s="146"/>
      <c r="I29" s="146"/>
      <c r="J29" s="146"/>
      <c r="K29" s="14"/>
      <c r="L29" s="146"/>
      <c r="M29" s="14"/>
      <c r="V29" s="145"/>
      <c r="W29" s="145"/>
    </row>
    <row r="30" spans="1:23" ht="15" customHeight="1">
      <c r="A30" s="166"/>
      <c r="B30" s="157"/>
      <c r="C30" s="167" t="s">
        <v>153</v>
      </c>
      <c r="D30" s="158"/>
      <c r="E30" s="167" t="s">
        <v>155</v>
      </c>
      <c r="F30" s="158"/>
      <c r="G30" s="168" t="s">
        <v>154</v>
      </c>
      <c r="H30" s="146"/>
      <c r="I30" s="146"/>
      <c r="J30" s="146"/>
      <c r="K30" s="14"/>
      <c r="L30" s="146"/>
      <c r="M30" s="14"/>
      <c r="V30" s="145"/>
      <c r="W30" s="145"/>
    </row>
    <row r="31" spans="1:23" ht="15" customHeight="1">
      <c r="A31" s="159" t="s">
        <v>152</v>
      </c>
      <c r="C31" s="162" t="s">
        <v>156</v>
      </c>
      <c r="D31" s="160"/>
      <c r="E31" s="163">
        <f>'Post Completion'!C40</f>
        <v>10000</v>
      </c>
      <c r="F31" s="160"/>
      <c r="G31" s="164"/>
      <c r="H31" s="146"/>
      <c r="I31" s="146"/>
      <c r="J31" s="146"/>
      <c r="K31" s="14"/>
      <c r="L31" s="146"/>
      <c r="M31" s="14"/>
      <c r="V31" s="145"/>
      <c r="W31" s="145"/>
    </row>
    <row r="32" spans="1:23" ht="15" customHeight="1">
      <c r="A32" s="159" t="s">
        <v>105</v>
      </c>
      <c r="C32" s="162" t="s">
        <v>156</v>
      </c>
      <c r="D32" s="160"/>
      <c r="E32" s="163">
        <f>'Post Completion'!E40</f>
        <v>45000</v>
      </c>
      <c r="F32" s="160"/>
      <c r="G32" s="165"/>
      <c r="H32" s="146"/>
      <c r="I32" s="146"/>
      <c r="J32" s="146"/>
      <c r="K32" s="14"/>
      <c r="L32" s="146"/>
      <c r="M32" s="14"/>
      <c r="V32" s="145"/>
      <c r="W32" s="145"/>
    </row>
    <row r="33" spans="1:23" ht="15" customHeight="1">
      <c r="A33" s="159" t="s">
        <v>146</v>
      </c>
      <c r="C33" s="161">
        <v>100</v>
      </c>
      <c r="E33" s="163">
        <f>'Post Completion'!F40</f>
        <v>3000</v>
      </c>
      <c r="F33" s="160"/>
      <c r="G33" s="169">
        <f t="shared" ref="G33:G38" si="1">SUM(C33*E33)</f>
        <v>300000</v>
      </c>
      <c r="H33" s="146"/>
      <c r="I33" s="146"/>
      <c r="J33" s="146"/>
      <c r="K33" s="14"/>
      <c r="L33" s="146"/>
      <c r="M33" s="14"/>
      <c r="V33" s="145"/>
      <c r="W33" s="145"/>
    </row>
    <row r="34" spans="1:23" ht="15" customHeight="1">
      <c r="A34" s="159" t="s">
        <v>147</v>
      </c>
      <c r="C34" s="161">
        <v>150</v>
      </c>
      <c r="D34" s="160"/>
      <c r="E34" s="163">
        <f>'Post Completion'!G40</f>
        <v>34000</v>
      </c>
      <c r="F34" s="160"/>
      <c r="G34" s="169">
        <f t="shared" si="1"/>
        <v>5100000</v>
      </c>
      <c r="H34" s="146"/>
      <c r="I34" s="146"/>
      <c r="J34" s="146"/>
      <c r="K34" s="14"/>
      <c r="L34" s="146"/>
      <c r="M34" s="14"/>
      <c r="V34" s="145"/>
      <c r="W34" s="145"/>
    </row>
    <row r="35" spans="1:23" ht="15" customHeight="1">
      <c r="A35" s="159" t="s">
        <v>148</v>
      </c>
      <c r="C35" s="144">
        <v>200</v>
      </c>
      <c r="D35" s="160"/>
      <c r="E35" s="163">
        <f>'Post Completion'!H40</f>
        <v>14000</v>
      </c>
      <c r="F35" s="160"/>
      <c r="G35" s="169">
        <f t="shared" si="1"/>
        <v>2800000</v>
      </c>
      <c r="H35" s="146"/>
      <c r="I35" s="146"/>
      <c r="J35" s="146"/>
      <c r="K35" s="14"/>
      <c r="L35" s="146"/>
      <c r="M35" s="14"/>
      <c r="V35" s="145"/>
      <c r="W35" s="145"/>
    </row>
    <row r="36" spans="1:23" ht="15" customHeight="1">
      <c r="A36" s="159" t="s">
        <v>149</v>
      </c>
      <c r="C36" s="161">
        <f ca="1">Subscriptions!C12</f>
        <v>318.60000000000002</v>
      </c>
      <c r="D36" s="160"/>
      <c r="E36" s="163">
        <f ca="1">Subscriptions!G31</f>
        <v>23537</v>
      </c>
      <c r="F36" s="160"/>
      <c r="G36" s="169">
        <f t="shared" ca="1" si="1"/>
        <v>7498888.2000000002</v>
      </c>
      <c r="H36" s="146"/>
      <c r="I36" s="146"/>
      <c r="J36" s="146"/>
      <c r="K36" s="14"/>
      <c r="L36" s="146"/>
      <c r="M36" s="14"/>
      <c r="V36" s="145"/>
      <c r="W36" s="145"/>
    </row>
    <row r="37" spans="1:23" ht="15" customHeight="1">
      <c r="A37" s="159" t="s">
        <v>150</v>
      </c>
      <c r="C37" s="161">
        <f ca="1">Warrant!C9</f>
        <v>270.81</v>
      </c>
      <c r="D37" s="160"/>
      <c r="E37" s="163">
        <f ca="1">Warrant!E17</f>
        <v>1034</v>
      </c>
      <c r="F37" s="160"/>
      <c r="G37" s="169">
        <f t="shared" ca="1" si="1"/>
        <v>280017.53999999998</v>
      </c>
      <c r="H37" s="146"/>
      <c r="I37" s="146"/>
      <c r="J37" s="146"/>
      <c r="K37" s="14"/>
      <c r="L37" s="146"/>
      <c r="M37" s="14"/>
      <c r="V37" s="145"/>
      <c r="W37" s="145"/>
    </row>
    <row r="38" spans="1:23" ht="15" customHeight="1">
      <c r="A38" s="159" t="s">
        <v>151</v>
      </c>
      <c r="C38" s="161">
        <f ca="1">'CLA Conversion'!C16</f>
        <v>236.96680000000001</v>
      </c>
      <c r="D38" s="160"/>
      <c r="E38" s="163">
        <f ca="1">'CLA Conversion'!M28</f>
        <v>20050</v>
      </c>
      <c r="F38" s="160"/>
      <c r="G38" s="169">
        <f t="shared" ca="1" si="1"/>
        <v>4751184.34</v>
      </c>
      <c r="H38" s="146"/>
      <c r="I38" s="146"/>
      <c r="J38" s="146"/>
      <c r="K38" s="14"/>
      <c r="L38" s="146"/>
      <c r="M38" s="14"/>
      <c r="V38" s="145"/>
      <c r="W38" s="145"/>
    </row>
    <row r="39" spans="1:23" ht="15" customHeight="1" thickBot="1">
      <c r="A39" s="202" t="s">
        <v>157</v>
      </c>
      <c r="B39" s="203"/>
      <c r="C39" s="203"/>
      <c r="D39" s="203"/>
      <c r="E39" s="204">
        <f ca="1">SUM(E31:E38)</f>
        <v>150621</v>
      </c>
      <c r="F39" s="203"/>
      <c r="G39" s="205">
        <f ca="1">SUM(G31:G38)</f>
        <v>20730090.079999998</v>
      </c>
      <c r="H39" s="146"/>
      <c r="I39" s="146"/>
      <c r="J39" s="146"/>
      <c r="K39" s="14"/>
      <c r="L39" s="146"/>
      <c r="M39" s="14"/>
      <c r="V39" s="145"/>
      <c r="W39" s="145"/>
    </row>
    <row r="40" spans="1:23" ht="15" customHeight="1">
      <c r="A40" s="141"/>
      <c r="C40" s="146"/>
      <c r="D40" s="142"/>
      <c r="E40" s="146"/>
      <c r="F40" s="146"/>
      <c r="G40" s="146"/>
      <c r="H40" s="146"/>
      <c r="I40" s="146"/>
      <c r="J40" s="146"/>
      <c r="K40" s="14"/>
      <c r="L40" s="146"/>
      <c r="M40" s="14"/>
      <c r="V40" s="145"/>
      <c r="W40" s="145"/>
    </row>
    <row r="41" spans="1:23" ht="15" customHeight="1">
      <c r="D41" s="146"/>
      <c r="H41" s="14"/>
      <c r="I41" s="14"/>
      <c r="J41" s="14"/>
      <c r="K41" s="14"/>
      <c r="L41" s="14"/>
      <c r="M41" s="40"/>
      <c r="N41" s="41"/>
      <c r="O41" s="41"/>
      <c r="P41" s="41"/>
      <c r="Q41" s="41"/>
      <c r="R41" s="41"/>
      <c r="V41" s="145"/>
      <c r="W41" s="145"/>
    </row>
    <row r="42" spans="1:23" ht="53.1" customHeight="1">
      <c r="A42" s="20" t="s">
        <v>0</v>
      </c>
      <c r="B42" s="36" t="s">
        <v>18</v>
      </c>
      <c r="C42" s="36" t="s">
        <v>19</v>
      </c>
      <c r="D42" s="124" t="s">
        <v>134</v>
      </c>
      <c r="H42" s="14"/>
      <c r="I42" s="14"/>
      <c r="J42" s="14"/>
      <c r="K42" s="14"/>
      <c r="L42" s="14"/>
      <c r="M42" s="40"/>
      <c r="N42" s="41"/>
      <c r="O42" s="41"/>
      <c r="P42" s="41"/>
      <c r="Q42" s="41"/>
      <c r="R42" s="41"/>
    </row>
    <row r="43" spans="1:23" ht="17.100000000000001" customHeight="1">
      <c r="D43" s="14"/>
      <c r="H43" s="14"/>
      <c r="I43" s="14"/>
      <c r="J43" s="14"/>
      <c r="K43" s="14"/>
      <c r="L43" s="14"/>
      <c r="M43" s="40"/>
      <c r="N43" s="41"/>
      <c r="O43" s="41"/>
      <c r="P43" s="41"/>
      <c r="Q43" s="41"/>
      <c r="R43" s="41"/>
    </row>
    <row r="44" spans="1:23" ht="15" customHeight="1">
      <c r="A44" s="21" t="s">
        <v>12</v>
      </c>
      <c r="D44" s="14"/>
      <c r="H44" s="14"/>
      <c r="I44" s="14"/>
      <c r="J44" s="14"/>
      <c r="K44" s="14"/>
      <c r="L44" s="14"/>
      <c r="M44" s="40"/>
      <c r="N44" s="41"/>
      <c r="O44" s="41"/>
      <c r="P44" s="41"/>
      <c r="Q44" s="41"/>
      <c r="R44" s="41"/>
    </row>
    <row r="45" spans="1:23" ht="15" customHeight="1">
      <c r="A45" s="1" t="s">
        <v>39</v>
      </c>
      <c r="B45" s="144">
        <v>0</v>
      </c>
      <c r="C45" s="144">
        <f ca="1">(D45*$C$9)</f>
        <v>0</v>
      </c>
      <c r="D45" s="148">
        <f ca="1">ROUNDDOWN(B45/$C$9,0)</f>
        <v>0</v>
      </c>
      <c r="H45" s="14"/>
      <c r="I45" s="14"/>
      <c r="K45" s="14"/>
      <c r="L45" s="14"/>
      <c r="M45" s="40"/>
      <c r="N45" s="41"/>
      <c r="O45" s="41"/>
      <c r="P45" s="41"/>
      <c r="Q45" s="41"/>
      <c r="R45" s="41"/>
      <c r="S45" s="149"/>
    </row>
    <row r="46" spans="1:23" ht="15" customHeight="1">
      <c r="A46" s="1" t="s">
        <v>40</v>
      </c>
      <c r="B46" s="144">
        <v>1000000</v>
      </c>
      <c r="C46" s="144">
        <f ca="1">(D46*$C$9)</f>
        <v>999766.8</v>
      </c>
      <c r="D46" s="148">
        <f ca="1">ROUNDDOWN(B46/$C$9,0)</f>
        <v>3138</v>
      </c>
      <c r="H46" s="14"/>
      <c r="I46" s="14"/>
      <c r="K46" s="14"/>
      <c r="L46" s="14"/>
      <c r="M46" s="40"/>
      <c r="N46" s="41"/>
      <c r="O46" s="41"/>
      <c r="P46" s="41"/>
      <c r="Q46" s="41"/>
      <c r="R46" s="41"/>
      <c r="S46" s="149"/>
    </row>
    <row r="47" spans="1:23" ht="15" customHeight="1">
      <c r="A47" s="1" t="s">
        <v>41</v>
      </c>
      <c r="B47" s="144">
        <v>800000</v>
      </c>
      <c r="C47" s="144">
        <f ca="1">(D47*$C$9)</f>
        <v>799686</v>
      </c>
      <c r="D47" s="148">
        <f ca="1">ROUNDDOWN(B47/$C$9,0)</f>
        <v>2510</v>
      </c>
      <c r="H47" s="14"/>
      <c r="I47" s="14"/>
      <c r="K47" s="14"/>
      <c r="L47" s="14"/>
      <c r="M47" s="40"/>
      <c r="N47" s="41"/>
      <c r="O47" s="41"/>
      <c r="P47" s="41"/>
      <c r="Q47" s="41"/>
      <c r="R47" s="41"/>
      <c r="S47" s="149"/>
    </row>
    <row r="48" spans="1:23" ht="15" customHeight="1">
      <c r="A48" s="1" t="s">
        <v>42</v>
      </c>
      <c r="B48" s="144">
        <v>200000</v>
      </c>
      <c r="C48" s="144">
        <f ca="1">(D48*$C$9)</f>
        <v>199762.2</v>
      </c>
      <c r="D48" s="148">
        <f ca="1">ROUNDDOWN(B48/$C$9,0)</f>
        <v>627</v>
      </c>
      <c r="H48" s="14"/>
      <c r="I48" s="14"/>
      <c r="K48" s="14"/>
      <c r="L48" s="14"/>
      <c r="M48" s="40"/>
      <c r="N48" s="41"/>
      <c r="O48" s="41"/>
      <c r="P48" s="41"/>
      <c r="Q48" s="41"/>
      <c r="R48" s="41"/>
      <c r="S48" s="149"/>
    </row>
    <row r="49" spans="1:18" ht="15" customHeight="1">
      <c r="A49" s="34"/>
      <c r="B49" s="144"/>
      <c r="C49" s="144"/>
      <c r="D49" s="37"/>
      <c r="H49" s="14"/>
      <c r="I49" s="14"/>
      <c r="K49" s="14"/>
      <c r="L49" s="14"/>
      <c r="M49" s="40"/>
      <c r="N49" s="41"/>
      <c r="O49" s="41"/>
      <c r="P49" s="41"/>
      <c r="Q49" s="41"/>
      <c r="R49" s="41"/>
    </row>
    <row r="50" spans="1:18" ht="15" customHeight="1" thickBot="1">
      <c r="A50" s="72" t="s">
        <v>8</v>
      </c>
      <c r="B50" s="115">
        <f>SUM(B45:B48)</f>
        <v>2000000</v>
      </c>
      <c r="C50" s="115">
        <f ca="1">SUM(C45:C48)</f>
        <v>1999215</v>
      </c>
      <c r="D50" s="138">
        <f t="shared" ref="D50" ca="1" si="2">SUM(D45:D48)</f>
        <v>6275</v>
      </c>
      <c r="H50" s="14"/>
      <c r="I50" s="14"/>
      <c r="J50" s="44"/>
      <c r="K50" s="14"/>
      <c r="L50" s="14"/>
      <c r="M50" s="40"/>
      <c r="N50" s="41"/>
      <c r="O50" s="41"/>
      <c r="P50" s="41"/>
      <c r="Q50" s="41"/>
      <c r="R50" s="41"/>
    </row>
    <row r="51" spans="1:18" ht="15" customHeight="1">
      <c r="A51" s="44"/>
      <c r="B51" s="116"/>
      <c r="C51" s="116"/>
      <c r="D51" s="222"/>
      <c r="H51" s="14"/>
      <c r="I51" s="14"/>
      <c r="J51" s="44"/>
      <c r="K51" s="14"/>
      <c r="L51" s="14"/>
      <c r="M51" s="40"/>
      <c r="N51" s="41"/>
      <c r="O51" s="41"/>
      <c r="P51" s="41"/>
      <c r="Q51" s="41"/>
      <c r="R51" s="41"/>
    </row>
    <row r="52" spans="1:18" ht="15" customHeight="1">
      <c r="C52" s="144"/>
      <c r="D52" s="144"/>
      <c r="E52" s="144"/>
      <c r="G52" s="42"/>
      <c r="H52" s="14"/>
      <c r="I52" s="14"/>
      <c r="K52" s="14"/>
      <c r="L52" s="14"/>
      <c r="M52" s="40"/>
      <c r="N52" s="41"/>
      <c r="O52" s="41"/>
      <c r="P52" s="41"/>
      <c r="Q52" s="41"/>
      <c r="R52" s="41"/>
    </row>
    <row r="53" spans="1:18" ht="61.5" customHeight="1">
      <c r="A53" s="20" t="s">
        <v>129</v>
      </c>
      <c r="B53" s="259" t="s">
        <v>170</v>
      </c>
      <c r="C53" s="259"/>
      <c r="D53" s="259"/>
      <c r="E53" s="259"/>
      <c r="F53" s="259"/>
      <c r="G53" s="259"/>
      <c r="H53" s="14"/>
      <c r="I53" s="14"/>
      <c r="J53" s="175"/>
      <c r="L53" s="14"/>
    </row>
    <row r="54" spans="1:18" ht="63.75" customHeight="1">
      <c r="A54" s="174"/>
      <c r="B54" s="172"/>
      <c r="C54" s="268"/>
      <c r="D54" s="268"/>
      <c r="E54" s="268"/>
      <c r="F54" s="268"/>
      <c r="G54" s="268"/>
      <c r="H54" s="14"/>
      <c r="I54" s="14"/>
      <c r="K54" s="14"/>
      <c r="L54" s="14"/>
      <c r="M54" s="40"/>
      <c r="N54" s="41"/>
      <c r="O54" s="41"/>
      <c r="P54" s="41"/>
      <c r="Q54" s="41"/>
      <c r="R54" s="41"/>
    </row>
    <row r="55" spans="1:18" ht="34.5" customHeight="1">
      <c r="A55" s="174" t="s">
        <v>114</v>
      </c>
      <c r="B55" s="264" t="s">
        <v>130</v>
      </c>
      <c r="C55" s="264"/>
      <c r="D55" s="264"/>
      <c r="E55" s="264"/>
      <c r="F55" s="264"/>
      <c r="G55" s="264"/>
      <c r="H55" s="14"/>
      <c r="I55" s="14"/>
      <c r="K55" s="14"/>
      <c r="L55" s="14"/>
      <c r="M55" s="40"/>
      <c r="N55" s="41"/>
      <c r="O55" s="41"/>
      <c r="P55" s="41"/>
      <c r="Q55" s="41"/>
      <c r="R55" s="41"/>
    </row>
    <row r="56" spans="1:18" ht="50.1" customHeight="1">
      <c r="A56" s="174" t="s">
        <v>115</v>
      </c>
      <c r="B56" s="265"/>
      <c r="C56" s="265"/>
      <c r="D56" s="265"/>
      <c r="E56" s="265"/>
      <c r="F56" s="265"/>
      <c r="G56" s="265"/>
      <c r="H56" s="14"/>
      <c r="I56" s="14"/>
      <c r="K56" s="14"/>
      <c r="L56" s="14"/>
      <c r="M56" s="40"/>
      <c r="N56" s="41"/>
      <c r="O56" s="41"/>
      <c r="P56" s="41"/>
      <c r="Q56" s="41"/>
      <c r="R56" s="41"/>
    </row>
    <row r="57" spans="1:18" ht="21" customHeight="1">
      <c r="A57" s="174" t="s">
        <v>116</v>
      </c>
      <c r="B57" s="264" t="s">
        <v>117</v>
      </c>
      <c r="C57" s="264"/>
      <c r="D57" s="264"/>
      <c r="E57" s="264"/>
      <c r="F57" s="264"/>
      <c r="G57" s="264"/>
      <c r="H57" s="14"/>
      <c r="I57" s="14"/>
      <c r="K57" s="14"/>
      <c r="L57" s="14"/>
      <c r="M57" s="40"/>
      <c r="N57" s="41"/>
      <c r="O57" s="41"/>
      <c r="P57" s="41"/>
      <c r="Q57" s="41"/>
      <c r="R57" s="41"/>
    </row>
    <row r="58" spans="1:18" ht="55.5" customHeight="1">
      <c r="A58" s="174" t="s">
        <v>118</v>
      </c>
      <c r="B58" s="266" t="s">
        <v>132</v>
      </c>
      <c r="C58" s="266"/>
      <c r="D58" s="266"/>
      <c r="E58" s="266"/>
      <c r="F58" s="266"/>
      <c r="G58" s="266"/>
      <c r="H58" s="14"/>
      <c r="I58" s="14"/>
      <c r="K58" s="14"/>
      <c r="L58" s="14"/>
      <c r="M58" s="40"/>
      <c r="N58" s="41"/>
      <c r="O58" s="41"/>
      <c r="P58" s="41"/>
      <c r="Q58" s="41"/>
      <c r="R58" s="41"/>
    </row>
    <row r="59" spans="1:18" ht="57" customHeight="1">
      <c r="A59" s="174" t="s">
        <v>119</v>
      </c>
      <c r="B59" s="266" t="s">
        <v>169</v>
      </c>
      <c r="C59" s="266"/>
      <c r="D59" s="266"/>
      <c r="E59" s="266"/>
      <c r="F59" s="266"/>
      <c r="G59" s="266"/>
      <c r="H59" s="14"/>
      <c r="I59" s="14"/>
      <c r="K59" s="14"/>
      <c r="L59" s="14"/>
      <c r="M59" s="40"/>
      <c r="N59" s="41"/>
      <c r="O59" s="41"/>
      <c r="P59" s="41"/>
      <c r="Q59" s="41"/>
      <c r="R59" s="41"/>
    </row>
    <row r="60" spans="1:18" ht="50.25" customHeight="1">
      <c r="A60" s="174" t="s">
        <v>120</v>
      </c>
      <c r="B60" s="264" t="s">
        <v>121</v>
      </c>
      <c r="C60" s="264"/>
      <c r="D60" s="264"/>
      <c r="E60" s="264"/>
      <c r="F60" s="264"/>
      <c r="G60" s="264"/>
      <c r="H60" s="14"/>
      <c r="I60" s="14"/>
      <c r="K60" s="14"/>
      <c r="L60" s="14"/>
      <c r="M60" s="40"/>
      <c r="N60" s="41"/>
      <c r="O60" s="41"/>
      <c r="P60" s="41"/>
      <c r="Q60" s="41"/>
      <c r="R60" s="41"/>
    </row>
    <row r="61" spans="1:18" ht="41.25" customHeight="1">
      <c r="A61" s="174" t="s">
        <v>122</v>
      </c>
      <c r="B61" s="267" t="s">
        <v>133</v>
      </c>
      <c r="C61" s="267"/>
      <c r="D61" s="267"/>
      <c r="E61" s="267"/>
      <c r="F61" s="267"/>
      <c r="G61" s="267"/>
      <c r="H61" s="14"/>
      <c r="I61" s="14"/>
      <c r="K61" s="14"/>
      <c r="L61" s="14"/>
      <c r="M61" s="40"/>
      <c r="N61" s="41"/>
      <c r="O61" s="41"/>
      <c r="P61" s="41"/>
      <c r="Q61" s="41"/>
      <c r="R61" s="41"/>
    </row>
    <row r="62" spans="1:18" ht="24" customHeight="1">
      <c r="A62" s="174"/>
      <c r="B62" s="217"/>
      <c r="C62" s="217"/>
      <c r="D62" s="217"/>
      <c r="E62" s="217"/>
      <c r="F62" s="217"/>
      <c r="G62" s="217"/>
      <c r="H62" s="14"/>
      <c r="I62" s="14"/>
      <c r="K62" s="14"/>
      <c r="L62" s="14"/>
      <c r="M62" s="40"/>
      <c r="N62" s="41"/>
      <c r="O62" s="41"/>
      <c r="P62" s="41"/>
      <c r="Q62" s="41"/>
      <c r="R62" s="41"/>
    </row>
    <row r="63" spans="1:18" ht="15" customHeight="1">
      <c r="A63" s="261" t="s">
        <v>168</v>
      </c>
      <c r="B63" s="262"/>
      <c r="C63" s="262"/>
      <c r="D63" s="262"/>
      <c r="E63" s="262"/>
      <c r="F63" s="262"/>
      <c r="G63" s="262"/>
      <c r="H63" s="39"/>
      <c r="I63" s="39"/>
      <c r="J63" s="39"/>
      <c r="K63" s="39"/>
      <c r="L63" s="39"/>
      <c r="M63" s="39"/>
      <c r="N63" s="39"/>
      <c r="O63" s="39"/>
      <c r="P63" s="41"/>
      <c r="Q63" s="41"/>
      <c r="R63" s="41"/>
    </row>
    <row r="64" spans="1:18" ht="12.75">
      <c r="A64" s="179"/>
      <c r="C64" s="173"/>
      <c r="D64" s="42"/>
      <c r="H64" s="14"/>
      <c r="I64" s="14"/>
      <c r="K64" s="14"/>
      <c r="L64" s="14"/>
    </row>
    <row r="65" spans="1:14" ht="57.75" customHeight="1">
      <c r="A65" s="180" t="s">
        <v>167</v>
      </c>
      <c r="B65" s="54" t="s">
        <v>159</v>
      </c>
      <c r="C65" s="54" t="s">
        <v>160</v>
      </c>
      <c r="D65" s="54" t="s">
        <v>161</v>
      </c>
      <c r="E65" s="54" t="s">
        <v>162</v>
      </c>
      <c r="F65" s="54" t="s">
        <v>163</v>
      </c>
      <c r="G65" s="54" t="s">
        <v>164</v>
      </c>
      <c r="H65" s="181"/>
      <c r="I65" s="181"/>
      <c r="K65" s="152"/>
      <c r="L65" s="181"/>
      <c r="N65" s="153"/>
    </row>
    <row r="66" spans="1:14" ht="12.75">
      <c r="A66" s="182" t="s">
        <v>114</v>
      </c>
      <c r="B66" s="183">
        <f t="shared" ref="B66:G66" ca="1" si="3">ROUND(SUM((B68/B67)*B72)-B72,0)</f>
        <v>987</v>
      </c>
      <c r="C66" s="183">
        <f t="shared" ca="1" si="3"/>
        <v>11233</v>
      </c>
      <c r="D66" s="183">
        <f t="shared" ca="1" si="3"/>
        <v>4636</v>
      </c>
      <c r="E66" s="183">
        <f t="shared" ca="1" si="3"/>
        <v>7813</v>
      </c>
      <c r="F66" s="183">
        <f t="shared" ca="1" si="3"/>
        <v>343</v>
      </c>
      <c r="G66" s="185">
        <f t="shared" ca="1" si="3"/>
        <v>6646</v>
      </c>
      <c r="H66" s="220">
        <f ca="1">SUM(B66:G66)</f>
        <v>31658</v>
      </c>
      <c r="I66" s="220"/>
      <c r="K66" s="14"/>
      <c r="L66" s="220"/>
      <c r="N66" s="184"/>
    </row>
    <row r="67" spans="1:14" ht="12.75">
      <c r="A67" s="182" t="s">
        <v>115</v>
      </c>
      <c r="B67" s="186">
        <f t="shared" ref="B67:G67" ca="1" si="4">((B68*B69)+(B70+B71))/(B69+B71)</f>
        <v>75.250495885568213</v>
      </c>
      <c r="C67" s="186">
        <f t="shared" ca="1" si="4"/>
        <v>112.75049588556821</v>
      </c>
      <c r="D67" s="186">
        <f t="shared" ca="1" si="4"/>
        <v>150.25049588556823</v>
      </c>
      <c r="E67" s="186">
        <f t="shared" ca="1" si="4"/>
        <v>239.20049588556822</v>
      </c>
      <c r="F67" s="186">
        <f t="shared" ca="1" si="4"/>
        <v>203.35799588556822</v>
      </c>
      <c r="G67" s="189">
        <f t="shared" ca="1" si="4"/>
        <v>177.9751</v>
      </c>
      <c r="H67" s="187"/>
      <c r="I67" s="187"/>
      <c r="K67" s="14"/>
      <c r="L67" s="187"/>
      <c r="N67" s="188"/>
    </row>
    <row r="68" spans="1:14" ht="12.75">
      <c r="A68" s="182" t="s">
        <v>116</v>
      </c>
      <c r="B68" s="186">
        <f>C33</f>
        <v>100</v>
      </c>
      <c r="C68" s="186">
        <f>C34</f>
        <v>150</v>
      </c>
      <c r="D68" s="186">
        <f>C35</f>
        <v>200</v>
      </c>
      <c r="E68" s="186">
        <f ca="1">C36</f>
        <v>318.60000000000002</v>
      </c>
      <c r="F68" s="186">
        <f ca="1">C37</f>
        <v>270.81</v>
      </c>
      <c r="G68" s="189">
        <f ca="1">C38</f>
        <v>236.96680000000001</v>
      </c>
      <c r="H68" s="40"/>
      <c r="I68" s="40"/>
      <c r="K68" s="40"/>
      <c r="L68" s="40"/>
      <c r="N68" s="190"/>
    </row>
    <row r="69" spans="1:14" s="176" customFormat="1" ht="12.75">
      <c r="A69" s="182" t="s">
        <v>118</v>
      </c>
      <c r="B69" s="177">
        <f ca="1">$C$8</f>
        <v>150621</v>
      </c>
      <c r="C69" s="177">
        <f t="shared" ref="C69:G69" ca="1" si="5">$C$8</f>
        <v>150621</v>
      </c>
      <c r="D69" s="177">
        <f t="shared" ca="1" si="5"/>
        <v>150621</v>
      </c>
      <c r="E69" s="177">
        <f t="shared" ca="1" si="5"/>
        <v>150621</v>
      </c>
      <c r="F69" s="178">
        <f t="shared" ca="1" si="5"/>
        <v>150621</v>
      </c>
      <c r="G69" s="191">
        <f t="shared" ca="1" si="5"/>
        <v>150621</v>
      </c>
      <c r="H69" s="155"/>
      <c r="I69" s="155"/>
      <c r="K69" s="44"/>
      <c r="L69" s="155"/>
      <c r="N69" s="123"/>
    </row>
    <row r="70" spans="1:14" ht="12.75">
      <c r="A70" s="182" t="s">
        <v>119</v>
      </c>
      <c r="B70" s="192">
        <f ca="1">E14</f>
        <v>99.587706893461075</v>
      </c>
      <c r="C70" s="192">
        <f ca="1">E14</f>
        <v>99.587706893461075</v>
      </c>
      <c r="D70" s="192">
        <f ca="1">E14</f>
        <v>99.587706893461075</v>
      </c>
      <c r="E70" s="192">
        <f ca="1">E14</f>
        <v>99.587706893461075</v>
      </c>
      <c r="F70" s="192">
        <f ca="1">E14</f>
        <v>99.587706893461075</v>
      </c>
      <c r="G70" s="193">
        <f>O14</f>
        <v>0</v>
      </c>
      <c r="H70" s="144"/>
      <c r="I70" s="144"/>
      <c r="K70" s="14"/>
      <c r="L70" s="144"/>
      <c r="N70" s="188"/>
    </row>
    <row r="71" spans="1:14" ht="12.75">
      <c r="A71" s="182" t="s">
        <v>120</v>
      </c>
      <c r="B71" s="194">
        <f ca="1">E18</f>
        <v>50207</v>
      </c>
      <c r="C71" s="194">
        <f ca="1">E18</f>
        <v>50207</v>
      </c>
      <c r="D71" s="178">
        <f ca="1">E18</f>
        <v>50207</v>
      </c>
      <c r="E71" s="178">
        <f ca="1">E18</f>
        <v>50207</v>
      </c>
      <c r="F71" s="178">
        <f ca="1">E18</f>
        <v>50207</v>
      </c>
      <c r="G71" s="191">
        <f ca="1">E18</f>
        <v>50207</v>
      </c>
      <c r="H71" s="178"/>
      <c r="I71" s="178"/>
      <c r="K71" s="14"/>
      <c r="L71" s="178"/>
      <c r="N71" s="188"/>
    </row>
    <row r="72" spans="1:14" ht="12.75">
      <c r="A72" s="195" t="s">
        <v>122</v>
      </c>
      <c r="B72" s="196">
        <f>D128</f>
        <v>3000</v>
      </c>
      <c r="C72" s="197">
        <f>E128</f>
        <v>34000</v>
      </c>
      <c r="D72" s="197">
        <f>F128</f>
        <v>14000</v>
      </c>
      <c r="E72" s="197">
        <f ca="1">E36</f>
        <v>23537</v>
      </c>
      <c r="F72" s="197">
        <f ca="1">Warrant!E17</f>
        <v>1034</v>
      </c>
      <c r="G72" s="198">
        <f ca="1">E38</f>
        <v>20050</v>
      </c>
      <c r="H72" s="178"/>
      <c r="I72" s="178"/>
      <c r="K72" s="178"/>
      <c r="L72" s="178"/>
      <c r="N72" s="188"/>
    </row>
    <row r="73" spans="1:14" ht="12.75">
      <c r="A73" s="223"/>
      <c r="B73" s="224"/>
      <c r="C73" s="178"/>
      <c r="D73" s="178"/>
      <c r="E73" s="178"/>
      <c r="F73" s="178"/>
      <c r="G73" s="178"/>
      <c r="H73" s="178"/>
      <c r="I73" s="178"/>
      <c r="K73" s="178"/>
      <c r="L73" s="178"/>
      <c r="N73" s="188"/>
    </row>
    <row r="74" spans="1:14" ht="12.75">
      <c r="C74" s="173"/>
      <c r="H74" s="14"/>
      <c r="I74" s="14"/>
      <c r="K74" s="14"/>
      <c r="L74" s="14"/>
    </row>
    <row r="75" spans="1:14" ht="12.75">
      <c r="A75" s="261" t="s">
        <v>172</v>
      </c>
      <c r="B75" s="262"/>
      <c r="C75" s="262"/>
      <c r="D75" s="262"/>
      <c r="E75" s="262"/>
      <c r="F75" s="262"/>
      <c r="G75" s="262"/>
      <c r="H75" s="263"/>
      <c r="I75" s="30"/>
      <c r="K75" s="14"/>
      <c r="L75" s="30"/>
    </row>
    <row r="76" spans="1:14">
      <c r="A76" s="199" t="str">
        <f>'Post Completion'!A18</f>
        <v>Preferred Shareholders / Investors</v>
      </c>
      <c r="B76"/>
      <c r="C76"/>
      <c r="D76"/>
      <c r="E76"/>
      <c r="F76"/>
      <c r="G76"/>
      <c r="H76" s="218"/>
      <c r="I76"/>
      <c r="K76" s="14"/>
      <c r="L76"/>
    </row>
    <row r="77" spans="1:14">
      <c r="A77" s="200" t="str">
        <f>'Post Completion'!A19</f>
        <v>[Shareholder 1]</v>
      </c>
      <c r="B77" s="230">
        <f ca="1">ROUND(((($B$68/$B$67)*'Post Completion'!F19)-'Post Completion'!F19),0)</f>
        <v>658</v>
      </c>
      <c r="C77" s="230">
        <f ca="1">ROUND(((($C$68/$C$67)*'Post Completion'!G19)-'Post Completion'!G19),0)</f>
        <v>2643</v>
      </c>
      <c r="D77" s="101"/>
      <c r="E77" s="101"/>
      <c r="F77" s="101"/>
      <c r="G77" s="101"/>
      <c r="H77" s="231">
        <f ca="1">SUM(B77:G77)</f>
        <v>3301</v>
      </c>
      <c r="I77"/>
      <c r="K77" s="14"/>
      <c r="L77"/>
    </row>
    <row r="78" spans="1:14">
      <c r="A78" s="200" t="str">
        <f>'Post Completion'!A20</f>
        <v>[Shareholder 2]</v>
      </c>
      <c r="B78" s="230">
        <f ca="1">ROUND(((($B$68/$B$67)*'Post Completion'!F20)-'Post Completion'!F20),0)</f>
        <v>329</v>
      </c>
      <c r="C78" s="230">
        <f ca="1">ROUND(((($C$68/$C$67)*'Post Completion'!G20)-'Post Completion'!G20),0)</f>
        <v>2643</v>
      </c>
      <c r="D78" s="230">
        <f ca="1">ROUND(((($D$68/$D$67)*'Post Completion'!H20)-'Post Completion'!H20),0)</f>
        <v>2318</v>
      </c>
      <c r="E78" s="101"/>
      <c r="F78" s="101"/>
      <c r="G78" s="101"/>
      <c r="H78" s="231">
        <f t="shared" ref="H78:H91" ca="1" si="6">SUM(B78:G78)</f>
        <v>5290</v>
      </c>
      <c r="I78"/>
      <c r="K78" s="14"/>
      <c r="L78"/>
    </row>
    <row r="79" spans="1:14">
      <c r="A79" s="200" t="str">
        <f>'Post Completion'!A21</f>
        <v>[Shareholder 3]</v>
      </c>
      <c r="B79" s="101"/>
      <c r="C79" s="230">
        <f ca="1">ROUND(((($C$68/$C$67)*'Post Completion'!G21)-'Post Completion'!G21),0)</f>
        <v>2973</v>
      </c>
      <c r="D79" s="230">
        <f ca="1">ROUND(((($D$68/$D$67)*'Post Completion'!H21)-'Post Completion'!H21),0)</f>
        <v>2318</v>
      </c>
      <c r="E79" s="101"/>
      <c r="F79" s="101"/>
      <c r="G79" s="101"/>
      <c r="H79" s="231">
        <f t="shared" ca="1" si="6"/>
        <v>5291</v>
      </c>
      <c r="I79"/>
      <c r="K79" s="14"/>
      <c r="L79"/>
    </row>
    <row r="80" spans="1:14">
      <c r="A80" s="200" t="str">
        <f>'Post Completion'!A22</f>
        <v>[Shareholder 4]</v>
      </c>
      <c r="B80" s="101"/>
      <c r="C80" s="230">
        <f ca="1">ROUND(((($C$68/$C$67)*'Post Completion'!G22)-'Post Completion'!G22),0)</f>
        <v>2973</v>
      </c>
      <c r="D80" s="101"/>
      <c r="E80" s="101"/>
      <c r="F80" s="101"/>
      <c r="G80" s="101"/>
      <c r="H80" s="231">
        <f t="shared" ca="1" si="6"/>
        <v>2973</v>
      </c>
      <c r="I80"/>
      <c r="K80" s="14"/>
      <c r="L80"/>
    </row>
    <row r="81" spans="1:24">
      <c r="A81" s="200"/>
      <c r="B81" s="101"/>
      <c r="C81" s="101"/>
      <c r="D81" s="101"/>
      <c r="E81" s="101"/>
      <c r="F81" s="230"/>
      <c r="G81" s="101"/>
      <c r="H81" s="231"/>
      <c r="I81"/>
      <c r="K81" s="14"/>
      <c r="L81"/>
    </row>
    <row r="82" spans="1:24">
      <c r="A82" s="200" t="str">
        <f>'Post Completion'!A24</f>
        <v>[Holder 1]</v>
      </c>
      <c r="B82" s="101"/>
      <c r="C82" s="101"/>
      <c r="D82" s="101"/>
      <c r="E82" s="101"/>
      <c r="F82" s="230">
        <f ca="1">ROUND(((($F$68/$F$67)*Warrant!E14)-Warrant!E14),0)</f>
        <v>171</v>
      </c>
      <c r="G82" s="230">
        <f ca="1">ROUND(((($G$68/$G$67)*'CLA Conversion'!M24)-'CLA Conversion'!M24),0)</f>
        <v>707</v>
      </c>
      <c r="H82" s="231">
        <f t="shared" ca="1" si="6"/>
        <v>878</v>
      </c>
      <c r="I82"/>
      <c r="K82" s="14"/>
      <c r="L82"/>
    </row>
    <row r="83" spans="1:24">
      <c r="A83" s="200" t="str">
        <f>'Post Completion'!A25</f>
        <v>[Holder 2]</v>
      </c>
      <c r="B83" s="101"/>
      <c r="C83" s="101"/>
      <c r="D83" s="101"/>
      <c r="E83" s="101"/>
      <c r="F83" s="230">
        <f ca="1">ROUND(((($D$68/$D$67)*Warrant!E15)-Warrant!E15),0)</f>
        <v>171</v>
      </c>
      <c r="G83" s="230">
        <f ca="1">ROUND(((($G$68/$G$67)*'CLA Conversion'!M25)-'CLA Conversion'!M25),0)</f>
        <v>3535</v>
      </c>
      <c r="H83" s="231">
        <f t="shared" ca="1" si="6"/>
        <v>3706</v>
      </c>
      <c r="I83"/>
      <c r="K83" s="14"/>
      <c r="L83"/>
    </row>
    <row r="84" spans="1:24">
      <c r="A84" s="200" t="str">
        <f>'Post Completion'!A26</f>
        <v>[Holder 3]</v>
      </c>
      <c r="B84" s="101"/>
      <c r="C84" s="101"/>
      <c r="D84" s="101"/>
      <c r="E84" s="101"/>
      <c r="F84" s="101"/>
      <c r="G84" s="230">
        <f ca="1">ROUND(((($G$68/$G$67)*'CLA Conversion'!M26)-'CLA Conversion'!M26),0)</f>
        <v>2404</v>
      </c>
      <c r="H84" s="231">
        <f t="shared" ca="1" si="6"/>
        <v>2404</v>
      </c>
      <c r="I84"/>
      <c r="K84" s="14"/>
      <c r="L84"/>
    </row>
    <row r="85" spans="1:24">
      <c r="A85" s="200"/>
      <c r="B85" s="101"/>
      <c r="C85" s="101"/>
      <c r="D85" s="101"/>
      <c r="E85" s="101"/>
      <c r="F85" s="101"/>
      <c r="G85" s="101"/>
      <c r="H85" s="231"/>
      <c r="I85"/>
      <c r="K85" s="14"/>
      <c r="L85"/>
    </row>
    <row r="86" spans="1:24">
      <c r="A86" s="200" t="str">
        <f>'Post Completion'!A28</f>
        <v>[Investor 1]</v>
      </c>
      <c r="B86" s="101"/>
      <c r="C86" s="101"/>
      <c r="D86" s="101"/>
      <c r="E86" s="230">
        <f ca="1">ROUND(((($E$68/$E$67)*Subscriptions!G19)-Subscriptions!G19),0)</f>
        <v>2084</v>
      </c>
      <c r="F86" s="101"/>
      <c r="G86" s="101"/>
      <c r="H86" s="231">
        <f t="shared" ca="1" si="6"/>
        <v>2084</v>
      </c>
      <c r="I86"/>
      <c r="K86" s="14"/>
      <c r="L86"/>
    </row>
    <row r="87" spans="1:24">
      <c r="A87" s="200" t="str">
        <f>'Post Completion'!A29</f>
        <v>[Investor 2]</v>
      </c>
      <c r="B87" s="101"/>
      <c r="C87" s="101"/>
      <c r="D87" s="101"/>
      <c r="E87" s="230">
        <f ca="1">ROUND(((($E$68/$E$67)*Subscriptions!G20)-Subscriptions!G20),0)</f>
        <v>2084</v>
      </c>
      <c r="F87" s="101"/>
      <c r="G87" s="101"/>
      <c r="H87" s="231">
        <f t="shared" ca="1" si="6"/>
        <v>2084</v>
      </c>
      <c r="I87"/>
      <c r="K87" s="14"/>
      <c r="L87"/>
    </row>
    <row r="88" spans="1:24">
      <c r="A88" s="200" t="str">
        <f>'Post Completion'!A30</f>
        <v>[Investor 3]</v>
      </c>
      <c r="B88" s="101"/>
      <c r="C88" s="101"/>
      <c r="D88" s="101"/>
      <c r="E88" s="230">
        <f ca="1">ROUND(((($E$68/$E$67)*Subscriptions!G21)-Subscriptions!G21),0)</f>
        <v>1042</v>
      </c>
      <c r="F88" s="101"/>
      <c r="G88" s="101"/>
      <c r="H88" s="231">
        <f t="shared" ca="1" si="6"/>
        <v>1042</v>
      </c>
      <c r="I88"/>
      <c r="K88" s="14"/>
      <c r="L88"/>
    </row>
    <row r="89" spans="1:24">
      <c r="A89" s="200" t="str">
        <f>'Post Completion'!A31</f>
        <v>[Investor 4]</v>
      </c>
      <c r="B89" s="101"/>
      <c r="C89" s="101"/>
      <c r="D89" s="101"/>
      <c r="E89" s="230">
        <f ca="1">ROUND(((($E$68/$E$67)*Subscriptions!G22)-Subscriptions!G22),0)</f>
        <v>521</v>
      </c>
      <c r="F89" s="101"/>
      <c r="G89" s="101"/>
      <c r="H89" s="231">
        <f t="shared" ca="1" si="6"/>
        <v>521</v>
      </c>
      <c r="I89"/>
      <c r="K89" s="14"/>
      <c r="L89"/>
    </row>
    <row r="90" spans="1:24">
      <c r="A90" s="200" t="str">
        <f>'Post Completion'!A32</f>
        <v>[Investor 5]</v>
      </c>
      <c r="B90" s="101"/>
      <c r="C90" s="101"/>
      <c r="D90" s="101"/>
      <c r="E90" s="230">
        <f ca="1">ROUND(((($E$68/$E$67)*Subscriptions!G26)-Subscriptions!G26),0)</f>
        <v>1042</v>
      </c>
      <c r="F90" s="101"/>
      <c r="G90" s="101"/>
      <c r="H90" s="231">
        <f t="shared" ca="1" si="6"/>
        <v>1042</v>
      </c>
      <c r="I90"/>
      <c r="K90" s="14"/>
      <c r="L90"/>
    </row>
    <row r="91" spans="1:24">
      <c r="A91" s="200" t="str">
        <f>'Post Completion'!A33</f>
        <v>[Investor 6]</v>
      </c>
      <c r="B91" s="101"/>
      <c r="C91" s="101"/>
      <c r="D91" s="101"/>
      <c r="E91" s="230">
        <f ca="1">ROUND(((($E$68/$E$67)*Subscriptions!G27)-Subscriptions!G27),0)</f>
        <v>1042</v>
      </c>
      <c r="F91" s="101"/>
      <c r="G91" s="101"/>
      <c r="H91" s="231">
        <f t="shared" ca="1" si="6"/>
        <v>1042</v>
      </c>
      <c r="I91"/>
      <c r="K91" s="14"/>
      <c r="L91"/>
    </row>
    <row r="92" spans="1:24" ht="12.75">
      <c r="A92" s="200"/>
      <c r="B92" s="225"/>
      <c r="C92" s="225"/>
      <c r="D92" s="225"/>
      <c r="E92" s="225"/>
      <c r="F92" s="225"/>
      <c r="G92" s="226"/>
      <c r="H92" s="227"/>
      <c r="I92" s="201"/>
      <c r="K92" s="14"/>
      <c r="L92" s="201"/>
    </row>
    <row r="93" spans="1:24" ht="12.75">
      <c r="A93" s="219" t="s">
        <v>8</v>
      </c>
      <c r="B93" s="228">
        <f t="shared" ref="B93:H93" ca="1" si="7">SUM(B77:B91)</f>
        <v>987</v>
      </c>
      <c r="C93" s="228">
        <f t="shared" ca="1" si="7"/>
        <v>11232</v>
      </c>
      <c r="D93" s="228">
        <f t="shared" ca="1" si="7"/>
        <v>4636</v>
      </c>
      <c r="E93" s="228">
        <f t="shared" ca="1" si="7"/>
        <v>7815</v>
      </c>
      <c r="F93" s="228">
        <f t="shared" ca="1" si="7"/>
        <v>342</v>
      </c>
      <c r="G93" s="228">
        <f t="shared" ca="1" si="7"/>
        <v>6646</v>
      </c>
      <c r="H93" s="229">
        <f t="shared" ca="1" si="7"/>
        <v>31658</v>
      </c>
      <c r="I93" s="221"/>
      <c r="K93" s="14"/>
      <c r="L93" s="221"/>
    </row>
    <row r="94" spans="1:24" ht="12.75">
      <c r="A94" s="11"/>
      <c r="B94" s="221"/>
      <c r="C94" s="221"/>
      <c r="D94" s="221"/>
      <c r="E94" s="221"/>
      <c r="F94" s="221"/>
      <c r="G94" s="221"/>
      <c r="H94" s="221"/>
      <c r="I94" s="221"/>
      <c r="K94" s="14"/>
      <c r="L94" s="221"/>
    </row>
    <row r="95" spans="1:24" ht="15" customHeight="1">
      <c r="A95" s="153"/>
      <c r="B95" s="153"/>
      <c r="C95" s="153"/>
      <c r="E95" s="153"/>
      <c r="F95" s="153"/>
      <c r="G95" s="153"/>
      <c r="H95" s="152"/>
      <c r="I95" s="152"/>
      <c r="J95" s="153"/>
      <c r="K95" s="14"/>
      <c r="L95" s="152"/>
      <c r="M95" s="153"/>
      <c r="N95" s="153"/>
      <c r="O95" s="153"/>
      <c r="P95" s="153"/>
      <c r="Q95" s="153"/>
      <c r="R95" s="153"/>
      <c r="S95" s="153"/>
      <c r="T95" s="153"/>
      <c r="U95" s="153"/>
      <c r="V95" s="153"/>
      <c r="W95" s="153"/>
      <c r="X95" s="153"/>
    </row>
    <row r="96" spans="1:24" ht="15" customHeight="1">
      <c r="A96" s="261" t="s">
        <v>1</v>
      </c>
      <c r="B96" s="260" t="s">
        <v>171</v>
      </c>
      <c r="C96" s="262" t="s">
        <v>105</v>
      </c>
      <c r="D96" s="260" t="s">
        <v>146</v>
      </c>
      <c r="E96" s="260" t="s">
        <v>147</v>
      </c>
      <c r="F96" s="260" t="s">
        <v>148</v>
      </c>
      <c r="G96" s="260" t="s">
        <v>134</v>
      </c>
      <c r="H96" s="260" t="s">
        <v>135</v>
      </c>
      <c r="I96" s="232"/>
      <c r="J96" s="260" t="s">
        <v>107</v>
      </c>
      <c r="K96" s="260"/>
      <c r="L96" s="232"/>
      <c r="M96" s="260" t="s">
        <v>108</v>
      </c>
      <c r="N96" s="269"/>
      <c r="P96" s="153"/>
      <c r="R96" s="153"/>
      <c r="U96" s="153"/>
      <c r="X96" s="153"/>
    </row>
    <row r="97" spans="1:24" ht="37.5" customHeight="1">
      <c r="A97" s="272"/>
      <c r="B97" s="259"/>
      <c r="C97" s="254" t="s">
        <v>6</v>
      </c>
      <c r="D97" s="259" t="s">
        <v>6</v>
      </c>
      <c r="E97" s="259" t="s">
        <v>6</v>
      </c>
      <c r="F97" s="259" t="s">
        <v>6</v>
      </c>
      <c r="G97" s="259" t="s">
        <v>6</v>
      </c>
      <c r="H97" s="259"/>
      <c r="I97" s="54"/>
      <c r="J97" s="259"/>
      <c r="K97" s="259"/>
      <c r="L97" s="54"/>
      <c r="M97" s="259"/>
      <c r="N97" s="270"/>
      <c r="P97" s="153"/>
      <c r="R97" s="153"/>
      <c r="U97" s="153"/>
      <c r="X97" s="153"/>
    </row>
    <row r="98" spans="1:24" ht="15" customHeight="1">
      <c r="A98" s="233"/>
      <c r="B98" s="234"/>
      <c r="C98" s="235"/>
      <c r="D98" s="235"/>
      <c r="E98" s="235"/>
      <c r="F98" s="235"/>
      <c r="G98" s="236"/>
      <c r="H98" s="236"/>
      <c r="I98" s="236"/>
      <c r="J98" s="20" t="s">
        <v>6</v>
      </c>
      <c r="K98" s="20" t="s">
        <v>10</v>
      </c>
      <c r="L98" s="236"/>
      <c r="M98" s="20" t="s">
        <v>6</v>
      </c>
      <c r="N98" s="206" t="s">
        <v>10</v>
      </c>
      <c r="P98" s="153"/>
      <c r="R98" s="153"/>
      <c r="U98" s="153"/>
      <c r="X98" s="153"/>
    </row>
    <row r="99" spans="1:24" ht="15" customHeight="1">
      <c r="A99" s="237" t="s">
        <v>7</v>
      </c>
      <c r="N99" s="238"/>
    </row>
    <row r="100" spans="1:24" ht="15" customHeight="1">
      <c r="A100" s="179" t="s">
        <v>71</v>
      </c>
      <c r="B100" s="239"/>
      <c r="C100" s="239">
        <v>12500</v>
      </c>
      <c r="D100" s="239"/>
      <c r="E100" s="239"/>
      <c r="F100" s="239"/>
      <c r="G100" s="240"/>
      <c r="J100" s="241">
        <f>SUM(B100:H100)</f>
        <v>12500</v>
      </c>
      <c r="K100" s="242">
        <f ca="1">J100/$J$128</f>
        <v>7.2556724847485765E-2</v>
      </c>
      <c r="M100" s="241">
        <f>SUM(B100:H100)</f>
        <v>12500</v>
      </c>
      <c r="N100" s="243">
        <f ca="1">SUM(M100/$M$128)</f>
        <v>6.6523685092840457E-2</v>
      </c>
    </row>
    <row r="101" spans="1:24" ht="15" customHeight="1">
      <c r="A101" s="179" t="s">
        <v>72</v>
      </c>
      <c r="B101" s="239"/>
      <c r="C101" s="239">
        <v>12500</v>
      </c>
      <c r="D101" s="239"/>
      <c r="E101" s="239"/>
      <c r="F101" s="239"/>
      <c r="G101" s="241"/>
      <c r="J101" s="241">
        <f>SUM(B101:H101)</f>
        <v>12500</v>
      </c>
      <c r="K101" s="242">
        <f ca="1">J101/$J$128</f>
        <v>7.2556724847485765E-2</v>
      </c>
      <c r="M101" s="241">
        <f t="shared" ref="M101:M105" si="8">SUM(B101:H101)</f>
        <v>12500</v>
      </c>
      <c r="N101" s="243">
        <f ca="1">SUM(M101/$M$128)</f>
        <v>6.6523685092840457E-2</v>
      </c>
    </row>
    <row r="102" spans="1:24" ht="15" customHeight="1">
      <c r="A102" s="179"/>
      <c r="B102" s="239"/>
      <c r="C102" s="239"/>
      <c r="D102" s="239"/>
      <c r="E102" s="239"/>
      <c r="F102" s="239"/>
      <c r="G102" s="241"/>
      <c r="J102" s="241"/>
      <c r="K102" s="242"/>
      <c r="M102" s="241"/>
      <c r="N102" s="243"/>
    </row>
    <row r="103" spans="1:24" ht="15" customHeight="1">
      <c r="A103" s="237" t="s">
        <v>103</v>
      </c>
      <c r="B103" s="239"/>
      <c r="C103" s="239"/>
      <c r="D103" s="239"/>
      <c r="E103" s="239"/>
      <c r="F103" s="239"/>
      <c r="G103" s="241"/>
      <c r="J103" s="241"/>
      <c r="K103" s="242"/>
      <c r="M103" s="241"/>
      <c r="N103" s="243"/>
    </row>
    <row r="104" spans="1:24" ht="15" customHeight="1">
      <c r="A104" s="179" t="s">
        <v>2</v>
      </c>
      <c r="B104" s="239"/>
      <c r="C104" s="239">
        <v>10000</v>
      </c>
      <c r="D104" s="239"/>
      <c r="E104" s="239"/>
      <c r="F104" s="239"/>
      <c r="G104" s="241"/>
      <c r="H104" s="244"/>
      <c r="J104" s="241">
        <f>SUM(B104:H104)</f>
        <v>10000</v>
      </c>
      <c r="K104" s="242">
        <f ca="1">J104/$J$128</f>
        <v>5.8045379877988613E-2</v>
      </c>
      <c r="M104" s="241">
        <f t="shared" si="8"/>
        <v>10000</v>
      </c>
      <c r="N104" s="243">
        <f ca="1">SUM(M104/$M$128)</f>
        <v>5.3218948074272361E-2</v>
      </c>
    </row>
    <row r="105" spans="1:24" ht="15" customHeight="1">
      <c r="A105" s="179" t="s">
        <v>2</v>
      </c>
      <c r="B105" s="239"/>
      <c r="C105" s="239">
        <v>10000</v>
      </c>
      <c r="D105" s="239"/>
      <c r="E105" s="239"/>
      <c r="F105" s="239"/>
      <c r="G105" s="241"/>
      <c r="J105" s="241">
        <f>SUM(B105:H105)</f>
        <v>10000</v>
      </c>
      <c r="K105" s="242">
        <f ca="1">J105/$J$128</f>
        <v>5.8045379877988613E-2</v>
      </c>
      <c r="M105" s="241">
        <f t="shared" si="8"/>
        <v>10000</v>
      </c>
      <c r="N105" s="243">
        <f ca="1">SUM(M105/$M$128)</f>
        <v>5.3218948074272361E-2</v>
      </c>
    </row>
    <row r="106" spans="1:24" ht="15" customHeight="1">
      <c r="A106" s="179"/>
      <c r="B106" s="239"/>
      <c r="C106" s="239"/>
      <c r="D106" s="239"/>
      <c r="E106" s="239"/>
      <c r="F106" s="239"/>
      <c r="G106" s="241"/>
      <c r="J106" s="241"/>
      <c r="K106" s="242"/>
      <c r="M106" s="241"/>
      <c r="N106" s="243"/>
    </row>
    <row r="107" spans="1:24" ht="15" customHeight="1">
      <c r="A107" s="237" t="s">
        <v>36</v>
      </c>
      <c r="B107" s="239"/>
      <c r="C107" s="239"/>
      <c r="D107" s="239"/>
      <c r="F107" s="239"/>
      <c r="G107" s="241"/>
      <c r="J107" s="241"/>
      <c r="K107" s="242"/>
      <c r="M107" s="241"/>
      <c r="N107" s="243"/>
    </row>
    <row r="108" spans="1:24" ht="15" customHeight="1">
      <c r="A108" s="179" t="s">
        <v>73</v>
      </c>
      <c r="B108" s="239"/>
      <c r="C108" s="239"/>
      <c r="D108" s="239">
        <v>2000</v>
      </c>
      <c r="E108" s="239">
        <v>8000</v>
      </c>
      <c r="F108" s="239"/>
      <c r="G108" s="241"/>
      <c r="H108" s="244">
        <f ca="1">H77</f>
        <v>3301</v>
      </c>
      <c r="J108" s="241">
        <f ca="1">SUM(B108:H108)</f>
        <v>13301</v>
      </c>
      <c r="K108" s="242">
        <f ca="1">J108/$J$128</f>
        <v>7.7206159775712657E-2</v>
      </c>
      <c r="M108" s="241">
        <f ca="1">SUM(B108:H108)</f>
        <v>13301</v>
      </c>
      <c r="N108" s="243">
        <f ca="1">SUM(M108/$M$128)</f>
        <v>7.0786522833589674E-2</v>
      </c>
    </row>
    <row r="109" spans="1:24" ht="15" customHeight="1">
      <c r="A109" s="179" t="s">
        <v>74</v>
      </c>
      <c r="B109" s="239"/>
      <c r="C109" s="239"/>
      <c r="D109" s="239">
        <v>1000</v>
      </c>
      <c r="E109" s="239">
        <v>8000</v>
      </c>
      <c r="F109" s="239">
        <v>7000</v>
      </c>
      <c r="G109" s="241"/>
      <c r="H109" s="244">
        <f ca="1">H78</f>
        <v>5290</v>
      </c>
      <c r="J109" s="241">
        <f ca="1">SUM(B109:H109)</f>
        <v>21290</v>
      </c>
      <c r="K109" s="242">
        <f ca="1">J109/$J$128</f>
        <v>0.12357861376023775</v>
      </c>
      <c r="M109" s="241">
        <f ca="1">SUM(B109:H109)</f>
        <v>21290</v>
      </c>
      <c r="N109" s="243">
        <f ca="1">SUM(M109/$M$128)</f>
        <v>0.11330314045012586</v>
      </c>
    </row>
    <row r="110" spans="1:24" ht="15" customHeight="1">
      <c r="A110" s="179" t="s">
        <v>75</v>
      </c>
      <c r="B110" s="239"/>
      <c r="C110" s="239"/>
      <c r="D110" s="239"/>
      <c r="E110" s="239">
        <v>9000</v>
      </c>
      <c r="F110" s="239">
        <v>7000</v>
      </c>
      <c r="G110" s="241"/>
      <c r="H110" s="244">
        <f ca="1">H79</f>
        <v>5291</v>
      </c>
      <c r="J110" s="241">
        <f ca="1">SUM(B110:H110)</f>
        <v>21291</v>
      </c>
      <c r="K110" s="242">
        <f ca="1">J110/$J$128</f>
        <v>0.12358441829822556</v>
      </c>
      <c r="M110" s="241">
        <f ca="1">SUM(B110:H110)</f>
        <v>21291</v>
      </c>
      <c r="N110" s="243">
        <f ca="1">SUM(M110/$M$128)</f>
        <v>0.11330846234493329</v>
      </c>
    </row>
    <row r="111" spans="1:24" ht="15" customHeight="1">
      <c r="A111" s="179" t="s">
        <v>76</v>
      </c>
      <c r="B111" s="239"/>
      <c r="C111" s="239"/>
      <c r="D111" s="239"/>
      <c r="E111" s="239">
        <v>9000</v>
      </c>
      <c r="F111" s="239"/>
      <c r="G111" s="241"/>
      <c r="H111" s="244">
        <f ca="1">H80</f>
        <v>2973</v>
      </c>
      <c r="J111" s="241">
        <f ca="1">SUM(B111:H111)</f>
        <v>11973</v>
      </c>
      <c r="K111" s="242">
        <f ca="1">J111/$J$128</f>
        <v>6.949773332791577E-2</v>
      </c>
      <c r="M111" s="241">
        <f ca="1">SUM(B111:H111)</f>
        <v>11973</v>
      </c>
      <c r="N111" s="243">
        <f ca="1">SUM(M111/$M$128)</f>
        <v>6.3719046529326306E-2</v>
      </c>
    </row>
    <row r="112" spans="1:24" ht="15" customHeight="1">
      <c r="A112" s="179"/>
      <c r="B112" s="239"/>
      <c r="C112" s="239"/>
      <c r="D112" s="239"/>
      <c r="E112" s="239"/>
      <c r="F112" s="239"/>
      <c r="G112" s="241"/>
      <c r="J112" s="241"/>
      <c r="K112" s="242"/>
      <c r="M112" s="241"/>
      <c r="N112" s="243"/>
    </row>
    <row r="113" spans="1:18" ht="15" customHeight="1">
      <c r="A113" s="179" t="s">
        <v>33</v>
      </c>
      <c r="B113" s="239"/>
      <c r="C113" s="239"/>
      <c r="D113" s="239"/>
      <c r="E113" s="239"/>
      <c r="F113" s="239"/>
      <c r="G113" s="241">
        <v>2650</v>
      </c>
      <c r="H113" s="244">
        <f ca="1">H82</f>
        <v>878</v>
      </c>
      <c r="J113" s="241">
        <f ca="1">SUM(B113:H113)</f>
        <v>3528</v>
      </c>
      <c r="K113" s="242">
        <f ca="1">J113/$J$128</f>
        <v>2.0478410020954383E-2</v>
      </c>
      <c r="M113" s="241">
        <f t="shared" ref="M113:M115" ca="1" si="9">SUM(B113:H113)</f>
        <v>3528</v>
      </c>
      <c r="N113" s="243">
        <f ca="1">SUM(M113/$M$128)</f>
        <v>1.8775644880603289E-2</v>
      </c>
    </row>
    <row r="114" spans="1:18" ht="15" customHeight="1">
      <c r="A114" s="179" t="s">
        <v>34</v>
      </c>
      <c r="B114" s="239"/>
      <c r="C114" s="239"/>
      <c r="D114" s="239"/>
      <c r="E114" s="239"/>
      <c r="F114" s="239"/>
      <c r="G114" s="241">
        <v>11182</v>
      </c>
      <c r="H114" s="244">
        <f ca="1">H83</f>
        <v>3706</v>
      </c>
      <c r="J114" s="241">
        <f ca="1">SUM(B114:H114)</f>
        <v>14888</v>
      </c>
      <c r="K114" s="242">
        <f ca="1">J114/$J$128</f>
        <v>8.6417961562349446E-2</v>
      </c>
      <c r="M114" s="241">
        <f t="shared" ca="1" si="9"/>
        <v>14888</v>
      </c>
      <c r="N114" s="243">
        <f ca="1">SUM(M114/$M$128)</f>
        <v>7.923236989297669E-2</v>
      </c>
    </row>
    <row r="115" spans="1:18" ht="15" customHeight="1">
      <c r="A115" s="179" t="s">
        <v>35</v>
      </c>
      <c r="B115" s="239"/>
      <c r="C115" s="239"/>
      <c r="D115" s="239"/>
      <c r="E115" s="239"/>
      <c r="F115" s="239"/>
      <c r="G115" s="241">
        <v>7252</v>
      </c>
      <c r="H115" s="244">
        <f ca="1">H84</f>
        <v>2404</v>
      </c>
      <c r="J115" s="241">
        <f ca="1">SUM(B115:H115)</f>
        <v>9656</v>
      </c>
      <c r="K115" s="242">
        <f ca="1">J115/$J$128</f>
        <v>5.6048618810185802E-2</v>
      </c>
      <c r="M115" s="241">
        <f t="shared" ca="1" si="9"/>
        <v>9656</v>
      </c>
      <c r="N115" s="243">
        <f ca="1">SUM(M115/$M$128)</f>
        <v>5.1388216260517393E-2</v>
      </c>
    </row>
    <row r="116" spans="1:18" ht="15" customHeight="1">
      <c r="A116" s="179"/>
      <c r="B116" s="239"/>
      <c r="C116" s="239"/>
      <c r="D116" s="239"/>
      <c r="E116" s="239"/>
      <c r="F116" s="239"/>
      <c r="G116" s="241"/>
      <c r="H116" s="244"/>
      <c r="J116" s="241"/>
      <c r="K116" s="242"/>
      <c r="M116" s="241"/>
      <c r="N116" s="243"/>
    </row>
    <row r="117" spans="1:18" ht="15" customHeight="1">
      <c r="A117" s="179" t="s">
        <v>39</v>
      </c>
      <c r="B117" s="239"/>
      <c r="C117" s="239"/>
      <c r="D117" s="239"/>
      <c r="E117" s="239"/>
      <c r="F117" s="239"/>
      <c r="G117" s="241">
        <v>6277</v>
      </c>
      <c r="H117" s="244">
        <f t="shared" ref="H117:H122" ca="1" si="10">H86</f>
        <v>2084</v>
      </c>
      <c r="J117" s="241">
        <f t="shared" ref="J117:J122" ca="1" si="11">SUM(B117:H117)</f>
        <v>8361</v>
      </c>
      <c r="K117" s="242">
        <f ca="1">SUM(J117/$J$128)</f>
        <v>4.8531742115986279E-2</v>
      </c>
      <c r="M117" s="241">
        <f t="shared" ref="M117:M122" ca="1" si="12">SUM(B117:H117)</f>
        <v>8361</v>
      </c>
      <c r="N117" s="243">
        <f t="shared" ref="N117:N122" ca="1" si="13">SUM(M117/$M$128)</f>
        <v>4.4496362484899125E-2</v>
      </c>
    </row>
    <row r="118" spans="1:18" ht="15" customHeight="1">
      <c r="A118" s="179" t="s">
        <v>40</v>
      </c>
      <c r="B118" s="239"/>
      <c r="C118" s="239"/>
      <c r="D118" s="239"/>
      <c r="E118" s="239"/>
      <c r="F118" s="239"/>
      <c r="G118" s="241">
        <v>6277</v>
      </c>
      <c r="H118" s="244">
        <f t="shared" ca="1" si="10"/>
        <v>2084</v>
      </c>
      <c r="J118" s="241">
        <f t="shared" ca="1" si="11"/>
        <v>8361</v>
      </c>
      <c r="K118" s="242">
        <f t="shared" ref="K118:K122" ca="1" si="14">SUM(J118/$J$128)</f>
        <v>4.8531742115986279E-2</v>
      </c>
      <c r="M118" s="241">
        <f t="shared" ca="1" si="12"/>
        <v>8361</v>
      </c>
      <c r="N118" s="243">
        <f t="shared" ca="1" si="13"/>
        <v>4.4496362484899125E-2</v>
      </c>
    </row>
    <row r="119" spans="1:18" ht="15" customHeight="1">
      <c r="A119" s="179" t="s">
        <v>41</v>
      </c>
      <c r="B119" s="239"/>
      <c r="C119" s="239"/>
      <c r="D119" s="239"/>
      <c r="E119" s="239"/>
      <c r="F119" s="239"/>
      <c r="G119" s="241">
        <v>3138</v>
      </c>
      <c r="H119" s="244">
        <f t="shared" ca="1" si="10"/>
        <v>1042</v>
      </c>
      <c r="J119" s="241">
        <f t="shared" ca="1" si="11"/>
        <v>4180</v>
      </c>
      <c r="K119" s="242">
        <f t="shared" ca="1" si="14"/>
        <v>2.426296878899924E-2</v>
      </c>
      <c r="M119" s="241">
        <f t="shared" ca="1" si="12"/>
        <v>4180</v>
      </c>
      <c r="N119" s="243">
        <f t="shared" ca="1" si="13"/>
        <v>2.2245520295045847E-2</v>
      </c>
    </row>
    <row r="120" spans="1:18" ht="15" customHeight="1">
      <c r="A120" s="179" t="s">
        <v>42</v>
      </c>
      <c r="B120" s="239"/>
      <c r="C120" s="239"/>
      <c r="D120" s="239"/>
      <c r="E120" s="239"/>
      <c r="F120" s="239"/>
      <c r="G120" s="241">
        <v>1569</v>
      </c>
      <c r="H120" s="244">
        <f t="shared" ca="1" si="10"/>
        <v>521</v>
      </c>
      <c r="J120" s="241">
        <f t="shared" ca="1" si="11"/>
        <v>2090</v>
      </c>
      <c r="K120" s="242">
        <f t="shared" ca="1" si="14"/>
        <v>1.213148439449962E-2</v>
      </c>
      <c r="M120" s="241">
        <f t="shared" ca="1" si="12"/>
        <v>2090</v>
      </c>
      <c r="N120" s="243">
        <f t="shared" ca="1" si="13"/>
        <v>1.1122760147522923E-2</v>
      </c>
    </row>
    <row r="121" spans="1:18" ht="15" customHeight="1">
      <c r="A121" s="179" t="s">
        <v>43</v>
      </c>
      <c r="B121" s="239"/>
      <c r="C121" s="239"/>
      <c r="D121" s="239"/>
      <c r="E121" s="239"/>
      <c r="F121" s="239"/>
      <c r="G121" s="241">
        <v>3138</v>
      </c>
      <c r="H121" s="244">
        <f t="shared" ca="1" si="10"/>
        <v>1042</v>
      </c>
      <c r="J121" s="241">
        <f t="shared" ca="1" si="11"/>
        <v>4180</v>
      </c>
      <c r="K121" s="242">
        <f t="shared" ca="1" si="14"/>
        <v>2.426296878899924E-2</v>
      </c>
      <c r="M121" s="241">
        <f t="shared" ca="1" si="12"/>
        <v>4180</v>
      </c>
      <c r="N121" s="243">
        <f t="shared" ca="1" si="13"/>
        <v>2.2245520295045847E-2</v>
      </c>
    </row>
    <row r="122" spans="1:18" ht="15" customHeight="1">
      <c r="A122" s="179" t="s">
        <v>44</v>
      </c>
      <c r="B122" s="239"/>
      <c r="C122" s="239"/>
      <c r="D122" s="239"/>
      <c r="E122" s="239"/>
      <c r="F122" s="239"/>
      <c r="G122" s="241">
        <v>3138</v>
      </c>
      <c r="H122" s="244">
        <f t="shared" ca="1" si="10"/>
        <v>1042</v>
      </c>
      <c r="J122" s="241">
        <f t="shared" ca="1" si="11"/>
        <v>4180</v>
      </c>
      <c r="K122" s="242">
        <f t="shared" ca="1" si="14"/>
        <v>2.426296878899924E-2</v>
      </c>
      <c r="M122" s="241">
        <f t="shared" ca="1" si="12"/>
        <v>4180</v>
      </c>
      <c r="N122" s="243">
        <f t="shared" ca="1" si="13"/>
        <v>2.2245520295045847E-2</v>
      </c>
    </row>
    <row r="123" spans="1:18" ht="15" customHeight="1">
      <c r="A123" s="179"/>
      <c r="B123" s="239"/>
      <c r="C123" s="239"/>
      <c r="D123" s="239"/>
      <c r="E123" s="239"/>
      <c r="F123" s="239"/>
      <c r="G123" s="241"/>
      <c r="H123" s="244"/>
      <c r="J123" s="241"/>
      <c r="K123" s="245"/>
      <c r="M123" s="241"/>
      <c r="N123" s="243"/>
    </row>
    <row r="124" spans="1:18" ht="15" customHeight="1">
      <c r="A124" s="237" t="s">
        <v>3</v>
      </c>
      <c r="B124" s="239"/>
      <c r="C124" s="239"/>
      <c r="D124" s="239"/>
      <c r="E124" s="239"/>
      <c r="F124" s="239"/>
      <c r="G124" s="241"/>
      <c r="H124" s="244"/>
      <c r="J124" s="241"/>
      <c r="K124" s="245"/>
      <c r="M124" s="241"/>
      <c r="N124" s="243"/>
    </row>
    <row r="125" spans="1:18" ht="15" customHeight="1">
      <c r="A125" s="179" t="s">
        <v>77</v>
      </c>
      <c r="B125" s="239">
        <v>7500</v>
      </c>
      <c r="C125" s="239"/>
      <c r="D125" s="239"/>
      <c r="E125" s="239"/>
      <c r="F125" s="239"/>
      <c r="G125" s="241"/>
      <c r="H125" s="244"/>
      <c r="J125" s="241"/>
      <c r="K125" s="245"/>
      <c r="M125" s="241">
        <f t="shared" ref="M125:M126" si="15">SUM(B125:H125)</f>
        <v>7500</v>
      </c>
      <c r="N125" s="243">
        <f ca="1">SUM(M125/$M$128)</f>
        <v>3.9914211055704273E-2</v>
      </c>
    </row>
    <row r="126" spans="1:18" ht="15" customHeight="1">
      <c r="A126" s="179" t="s">
        <v>23</v>
      </c>
      <c r="B126" s="239">
        <v>8124</v>
      </c>
      <c r="C126" s="239"/>
      <c r="D126" s="239"/>
      <c r="E126" s="239"/>
      <c r="F126" s="239"/>
      <c r="G126" s="241"/>
      <c r="H126" s="244"/>
      <c r="J126" s="241"/>
      <c r="K126" s="245"/>
      <c r="M126" s="241">
        <f t="shared" si="15"/>
        <v>8124</v>
      </c>
      <c r="N126" s="243">
        <f ca="1">SUM(M126/$M$128)</f>
        <v>4.3235073415538866E-2</v>
      </c>
    </row>
    <row r="127" spans="1:18" ht="15" customHeight="1">
      <c r="A127" s="179"/>
      <c r="J127" s="241"/>
      <c r="K127" s="245"/>
      <c r="M127" s="241"/>
      <c r="N127" s="246"/>
    </row>
    <row r="128" spans="1:18" ht="15" customHeight="1">
      <c r="A128" s="247" t="s">
        <v>8</v>
      </c>
      <c r="B128" s="248">
        <v>15624</v>
      </c>
      <c r="C128" s="248">
        <v>45000</v>
      </c>
      <c r="D128" s="248">
        <v>3000</v>
      </c>
      <c r="E128" s="248">
        <v>34000</v>
      </c>
      <c r="F128" s="248">
        <v>14000</v>
      </c>
      <c r="G128" s="249">
        <v>44621</v>
      </c>
      <c r="H128" s="249">
        <f ca="1">SUM(H104:H126)</f>
        <v>31658</v>
      </c>
      <c r="I128" s="249"/>
      <c r="J128" s="249">
        <f ca="1">SUM(J100:J122)</f>
        <v>172279</v>
      </c>
      <c r="K128" s="250">
        <f ca="1">SUM(K100:K122)</f>
        <v>1</v>
      </c>
      <c r="L128" s="249"/>
      <c r="M128" s="249">
        <f ca="1">SUM(M100:M126)</f>
        <v>187903</v>
      </c>
      <c r="N128" s="251">
        <f ca="1">SUM(N100:N126)</f>
        <v>0.99999999999999978</v>
      </c>
      <c r="P128" s="151"/>
      <c r="R128" s="151"/>
    </row>
    <row r="129" spans="8:22" ht="15" customHeight="1">
      <c r="H129" s="14"/>
      <c r="I129" s="14"/>
      <c r="L129" s="14"/>
      <c r="S129" s="150"/>
      <c r="V129" s="150"/>
    </row>
    <row r="130" spans="8:22" ht="15" customHeight="1">
      <c r="H130" s="14"/>
      <c r="I130" s="14"/>
      <c r="K130" s="14"/>
      <c r="L130" s="14"/>
      <c r="S130" s="150"/>
      <c r="V130" s="150"/>
    </row>
    <row r="131" spans="8:22" ht="15" customHeight="1">
      <c r="H131" s="14"/>
      <c r="I131" s="14"/>
      <c r="K131" s="14"/>
      <c r="L131" s="14"/>
      <c r="S131" s="150"/>
      <c r="V131" s="150"/>
    </row>
    <row r="132" spans="8:22" ht="15" customHeight="1">
      <c r="K132" s="14"/>
      <c r="S132" s="150"/>
      <c r="V132" s="150"/>
    </row>
    <row r="133" spans="8:22" ht="15" customHeight="1">
      <c r="K133" s="14"/>
      <c r="S133" s="150"/>
    </row>
    <row r="134" spans="8:22" ht="15" customHeight="1">
      <c r="K134" s="14"/>
      <c r="S134" s="150"/>
    </row>
    <row r="135" spans="8:22" ht="15" customHeight="1">
      <c r="K135" s="14"/>
      <c r="S135" s="150"/>
    </row>
    <row r="136" spans="8:22" ht="15" customHeight="1">
      <c r="K136" s="14"/>
      <c r="S136" s="150"/>
    </row>
    <row r="137" spans="8:22" ht="15" customHeight="1">
      <c r="K137" s="14"/>
      <c r="S137" s="150"/>
    </row>
    <row r="138" spans="8:22" ht="15" customHeight="1">
      <c r="K138" s="14"/>
      <c r="S138" s="150"/>
    </row>
    <row r="139" spans="8:22" ht="15" customHeight="1">
      <c r="K139" s="14"/>
      <c r="S139" s="150"/>
    </row>
    <row r="140" spans="8:22" ht="15" customHeight="1">
      <c r="K140" s="14"/>
    </row>
    <row r="141" spans="8:22" ht="15" customHeight="1">
      <c r="K141" s="14"/>
    </row>
    <row r="142" spans="8:22" ht="15" customHeight="1">
      <c r="K142" s="14"/>
    </row>
    <row r="143" spans="8:22" ht="15" customHeight="1">
      <c r="K143" s="14"/>
    </row>
    <row r="144" spans="8:22" ht="15" customHeight="1">
      <c r="K144" s="14"/>
    </row>
    <row r="145" spans="11:11" ht="15" customHeight="1">
      <c r="K145" s="14"/>
    </row>
    <row r="146" spans="11:11" ht="15" customHeight="1">
      <c r="K146" s="14"/>
    </row>
    <row r="147" spans="11:11" ht="15" customHeight="1">
      <c r="K147" s="14"/>
    </row>
    <row r="148" spans="11:11" ht="15" customHeight="1">
      <c r="K148" s="14"/>
    </row>
    <row r="149" spans="11:11" ht="15" customHeight="1">
      <c r="K149" s="14"/>
    </row>
    <row r="150" spans="11:11" ht="15" customHeight="1">
      <c r="K150" s="14"/>
    </row>
    <row r="151" spans="11:11" ht="15" customHeight="1">
      <c r="K151" s="14"/>
    </row>
    <row r="152" spans="11:11" ht="15" customHeight="1">
      <c r="K152" s="14"/>
    </row>
    <row r="153" spans="11:11" ht="15" customHeight="1">
      <c r="K153" s="14"/>
    </row>
    <row r="154" spans="11:11" ht="15" customHeight="1">
      <c r="K154" s="14"/>
    </row>
    <row r="155" spans="11:11" ht="15" customHeight="1">
      <c r="K155" s="14"/>
    </row>
    <row r="156" spans="11:11" ht="15" customHeight="1">
      <c r="K156" s="14"/>
    </row>
    <row r="157" spans="11:11" ht="15" customHeight="1">
      <c r="K157" s="14"/>
    </row>
    <row r="158" spans="11:11" ht="15" customHeight="1">
      <c r="K158" s="14"/>
    </row>
    <row r="159" spans="11:11" ht="15" customHeight="1">
      <c r="K159" s="14"/>
    </row>
    <row r="160" spans="11:11" ht="15" customHeight="1">
      <c r="K160" s="14"/>
    </row>
    <row r="161" spans="11:11" ht="15" customHeight="1">
      <c r="K161" s="14"/>
    </row>
    <row r="162" spans="11:11" ht="15" customHeight="1">
      <c r="K162" s="14"/>
    </row>
    <row r="163" spans="11:11" ht="15" customHeight="1">
      <c r="K163" s="14"/>
    </row>
    <row r="164" spans="11:11" ht="15" customHeight="1">
      <c r="K164" s="14"/>
    </row>
    <row r="165" spans="11:11" ht="15" customHeight="1">
      <c r="K165" s="14"/>
    </row>
    <row r="166" spans="11:11" ht="15" customHeight="1">
      <c r="K166" s="14"/>
    </row>
    <row r="167" spans="11:11" ht="15" customHeight="1">
      <c r="K167" s="14"/>
    </row>
    <row r="168" spans="11:11" ht="15" customHeight="1">
      <c r="K168" s="14"/>
    </row>
    <row r="169" spans="11:11" ht="15" customHeight="1">
      <c r="K169" s="14"/>
    </row>
    <row r="170" spans="11:11" ht="15" customHeight="1">
      <c r="K170" s="14"/>
    </row>
    <row r="171" spans="11:11" ht="15" customHeight="1">
      <c r="K171" s="14"/>
    </row>
    <row r="172" spans="11:11" ht="15" customHeight="1">
      <c r="K172" s="14"/>
    </row>
    <row r="173" spans="11:11" ht="15" customHeight="1">
      <c r="K173" s="14"/>
    </row>
    <row r="174" spans="11:11" ht="15" customHeight="1">
      <c r="K174" s="14"/>
    </row>
    <row r="175" spans="11:11" ht="15" customHeight="1">
      <c r="K175" s="14"/>
    </row>
    <row r="176" spans="11:11" ht="15" customHeight="1">
      <c r="K176" s="14"/>
    </row>
    <row r="177" spans="11:11" ht="15" customHeight="1">
      <c r="K177" s="14"/>
    </row>
    <row r="178" spans="11:11" ht="15" customHeight="1">
      <c r="K178" s="14"/>
    </row>
    <row r="179" spans="11:11" ht="15" customHeight="1">
      <c r="K179" s="14"/>
    </row>
    <row r="180" spans="11:11" ht="15" customHeight="1">
      <c r="K180" s="14"/>
    </row>
    <row r="181" spans="11:11" ht="15" customHeight="1">
      <c r="K181" s="14"/>
    </row>
    <row r="182" spans="11:11" ht="15" customHeight="1">
      <c r="K182" s="14"/>
    </row>
    <row r="183" spans="11:11" ht="15" customHeight="1">
      <c r="K183" s="14"/>
    </row>
    <row r="184" spans="11:11" ht="15" customHeight="1">
      <c r="K184" s="14"/>
    </row>
    <row r="185" spans="11:11" ht="15" customHeight="1">
      <c r="K185" s="14"/>
    </row>
    <row r="186" spans="11:11" ht="15" customHeight="1">
      <c r="K186" s="14"/>
    </row>
    <row r="187" spans="11:11" ht="15" customHeight="1">
      <c r="K187" s="14"/>
    </row>
    <row r="188" spans="11:11" ht="15" customHeight="1">
      <c r="K188" s="14"/>
    </row>
    <row r="189" spans="11:11" ht="15" customHeight="1">
      <c r="K189" s="14"/>
    </row>
    <row r="190" spans="11:11" ht="15" customHeight="1">
      <c r="K190" s="14"/>
    </row>
    <row r="191" spans="11:11" ht="15" customHeight="1">
      <c r="K191" s="14"/>
    </row>
    <row r="192" spans="11:11" ht="15" customHeight="1">
      <c r="K192" s="14"/>
    </row>
    <row r="193" spans="11:11" ht="15" customHeight="1">
      <c r="K193" s="14"/>
    </row>
    <row r="194" spans="11:11" ht="15" customHeight="1">
      <c r="K194" s="14"/>
    </row>
    <row r="195" spans="11:11" ht="15" customHeight="1">
      <c r="K195" s="14"/>
    </row>
    <row r="196" spans="11:11" ht="15" customHeight="1">
      <c r="K196" s="14"/>
    </row>
    <row r="197" spans="11:11" ht="15" customHeight="1">
      <c r="K197" s="14"/>
    </row>
    <row r="198" spans="11:11" ht="15" customHeight="1">
      <c r="K198" s="14"/>
    </row>
    <row r="199" spans="11:11" ht="15" customHeight="1">
      <c r="K199" s="14"/>
    </row>
    <row r="200" spans="11:11" ht="15" customHeight="1">
      <c r="K200" s="14"/>
    </row>
    <row r="201" spans="11:11" ht="15" customHeight="1">
      <c r="K201" s="14"/>
    </row>
    <row r="202" spans="11:11" ht="15" customHeight="1">
      <c r="K202" s="14"/>
    </row>
    <row r="203" spans="11:11" ht="15" customHeight="1">
      <c r="K203" s="14"/>
    </row>
    <row r="204" spans="11:11" ht="15" customHeight="1">
      <c r="K204" s="14"/>
    </row>
    <row r="205" spans="11:11" ht="15" customHeight="1">
      <c r="K205" s="14"/>
    </row>
    <row r="206" spans="11:11" ht="15" customHeight="1">
      <c r="K206" s="14"/>
    </row>
    <row r="207" spans="11:11" ht="15" customHeight="1">
      <c r="K207" s="14"/>
    </row>
    <row r="208" spans="11:11" ht="15" customHeight="1">
      <c r="K208" s="14"/>
    </row>
    <row r="209" spans="11:11" ht="15" customHeight="1">
      <c r="K209" s="14"/>
    </row>
    <row r="210" spans="11:11" ht="15" customHeight="1">
      <c r="K210" s="14"/>
    </row>
    <row r="211" spans="11:11" ht="15" customHeight="1">
      <c r="K211" s="14"/>
    </row>
    <row r="212" spans="11:11" ht="15" customHeight="1">
      <c r="K212" s="14"/>
    </row>
    <row r="213" spans="11:11" ht="15" customHeight="1">
      <c r="K213" s="14"/>
    </row>
    <row r="214" spans="11:11" ht="15" customHeight="1">
      <c r="K214" s="14"/>
    </row>
    <row r="215" spans="11:11" ht="15" customHeight="1">
      <c r="K215" s="14"/>
    </row>
    <row r="216" spans="11:11" ht="15" customHeight="1">
      <c r="K216" s="14"/>
    </row>
    <row r="217" spans="11:11" ht="15" customHeight="1">
      <c r="K217" s="14"/>
    </row>
    <row r="218" spans="11:11" ht="15" customHeight="1">
      <c r="K218" s="14"/>
    </row>
    <row r="219" spans="11:11" ht="15" customHeight="1">
      <c r="K219" s="14"/>
    </row>
    <row r="220" spans="11:11" ht="15" customHeight="1">
      <c r="K220" s="14"/>
    </row>
    <row r="221" spans="11:11" ht="15" customHeight="1">
      <c r="K221" s="14"/>
    </row>
    <row r="222" spans="11:11" ht="15" customHeight="1">
      <c r="K222" s="14"/>
    </row>
    <row r="223" spans="11:11" ht="15" customHeight="1">
      <c r="K223" s="14"/>
    </row>
    <row r="224" spans="11:11" ht="15" customHeight="1">
      <c r="K224" s="14"/>
    </row>
    <row r="225" spans="11:11" ht="15" customHeight="1">
      <c r="K225" s="14"/>
    </row>
    <row r="226" spans="11:11" ht="15" customHeight="1">
      <c r="K226" s="14"/>
    </row>
    <row r="227" spans="11:11" ht="15" customHeight="1">
      <c r="K227" s="14"/>
    </row>
    <row r="228" spans="11:11" ht="15" customHeight="1">
      <c r="K228" s="14"/>
    </row>
    <row r="229" spans="11:11" ht="15" customHeight="1">
      <c r="K229" s="14"/>
    </row>
    <row r="230" spans="11:11" ht="15" customHeight="1">
      <c r="K230" s="14"/>
    </row>
    <row r="231" spans="11:11" ht="15" customHeight="1">
      <c r="K231" s="14"/>
    </row>
    <row r="232" spans="11:11" ht="15" customHeight="1">
      <c r="K232" s="14"/>
    </row>
    <row r="233" spans="11:11" ht="15" customHeight="1">
      <c r="K233" s="14"/>
    </row>
    <row r="234" spans="11:11" ht="15" customHeight="1">
      <c r="K234" s="14"/>
    </row>
    <row r="235" spans="11:11" ht="15" customHeight="1">
      <c r="K235" s="14"/>
    </row>
    <row r="236" spans="11:11" ht="15" customHeight="1">
      <c r="K236" s="14"/>
    </row>
    <row r="237" spans="11:11" ht="15" customHeight="1">
      <c r="K237" s="14"/>
    </row>
    <row r="238" spans="11:11" ht="15" customHeight="1">
      <c r="K238" s="14"/>
    </row>
    <row r="239" spans="11:11" ht="15" customHeight="1">
      <c r="K239" s="14"/>
    </row>
    <row r="240" spans="11:11" ht="15" customHeight="1">
      <c r="K240" s="14"/>
    </row>
    <row r="241" spans="11:11" ht="15" customHeight="1">
      <c r="K241" s="14"/>
    </row>
    <row r="242" spans="11:11" ht="15" customHeight="1">
      <c r="K242" s="14"/>
    </row>
    <row r="243" spans="11:11" ht="15" customHeight="1">
      <c r="K243" s="14"/>
    </row>
    <row r="244" spans="11:11" ht="15" customHeight="1">
      <c r="K244" s="14"/>
    </row>
    <row r="245" spans="11:11" ht="15" customHeight="1">
      <c r="K245" s="14"/>
    </row>
    <row r="246" spans="11:11" ht="15" customHeight="1">
      <c r="K246" s="14"/>
    </row>
    <row r="247" spans="11:11" ht="15" customHeight="1">
      <c r="K247" s="14"/>
    </row>
    <row r="248" spans="11:11" ht="15" customHeight="1">
      <c r="K248" s="14"/>
    </row>
    <row r="249" spans="11:11" ht="15" customHeight="1">
      <c r="K249" s="14"/>
    </row>
    <row r="250" spans="11:11" ht="15" customHeight="1">
      <c r="K250" s="14"/>
    </row>
    <row r="251" spans="11:11" ht="15" customHeight="1">
      <c r="K251" s="14"/>
    </row>
    <row r="252" spans="11:11" ht="15" customHeight="1">
      <c r="K252" s="14"/>
    </row>
    <row r="253" spans="11:11" ht="15" customHeight="1">
      <c r="K253" s="14"/>
    </row>
    <row r="254" spans="11:11" ht="15" customHeight="1">
      <c r="K254" s="14"/>
    </row>
    <row r="255" spans="11:11" ht="15" customHeight="1">
      <c r="K255" s="14"/>
    </row>
    <row r="256" spans="11:11" ht="15" customHeight="1">
      <c r="K256" s="14"/>
    </row>
    <row r="257" spans="11:11" ht="15" customHeight="1">
      <c r="K257" s="14"/>
    </row>
    <row r="258" spans="11:11" ht="15" customHeight="1">
      <c r="K258" s="14"/>
    </row>
    <row r="259" spans="11:11" ht="15" customHeight="1">
      <c r="K259" s="14"/>
    </row>
    <row r="260" spans="11:11" ht="15" customHeight="1">
      <c r="K260" s="14"/>
    </row>
    <row r="261" spans="11:11" ht="15" customHeight="1">
      <c r="K261" s="14"/>
    </row>
    <row r="262" spans="11:11" ht="15" customHeight="1">
      <c r="K262" s="14"/>
    </row>
    <row r="263" spans="11:11" ht="15" customHeight="1">
      <c r="K263" s="14"/>
    </row>
    <row r="264" spans="11:11" ht="15" customHeight="1">
      <c r="K264" s="14"/>
    </row>
    <row r="265" spans="11:11" ht="15" customHeight="1">
      <c r="K265" s="14"/>
    </row>
    <row r="266" spans="11:11" ht="15" customHeight="1">
      <c r="K266" s="14"/>
    </row>
    <row r="267" spans="11:11" ht="15" customHeight="1">
      <c r="K267" s="14"/>
    </row>
    <row r="268" spans="11:11" ht="15" customHeight="1">
      <c r="K268" s="14"/>
    </row>
    <row r="269" spans="11:11" ht="15" customHeight="1">
      <c r="K269" s="14"/>
    </row>
    <row r="270" spans="11:11" ht="15" customHeight="1">
      <c r="K270" s="14"/>
    </row>
    <row r="271" spans="11:11" ht="15" customHeight="1">
      <c r="K271" s="14"/>
    </row>
    <row r="272" spans="11:11" ht="15" customHeight="1">
      <c r="K272" s="14"/>
    </row>
    <row r="273" spans="11:11" ht="15" customHeight="1">
      <c r="K273" s="14"/>
    </row>
    <row r="274" spans="11:11" ht="15" customHeight="1">
      <c r="K274" s="14"/>
    </row>
  </sheetData>
  <mergeCells count="28">
    <mergeCell ref="J96:K97"/>
    <mergeCell ref="M96:N97"/>
    <mergeCell ref="A29:G29"/>
    <mergeCell ref="R1:W5"/>
    <mergeCell ref="H96:H97"/>
    <mergeCell ref="C96:C97"/>
    <mergeCell ref="D96:D97"/>
    <mergeCell ref="E96:E97"/>
    <mergeCell ref="F96:F97"/>
    <mergeCell ref="G96:G97"/>
    <mergeCell ref="B11:B12"/>
    <mergeCell ref="C11:C12"/>
    <mergeCell ref="D11:D12"/>
    <mergeCell ref="E11:E12"/>
    <mergeCell ref="A11:A12"/>
    <mergeCell ref="A96:A97"/>
    <mergeCell ref="B96:B97"/>
    <mergeCell ref="A75:H75"/>
    <mergeCell ref="A63:G63"/>
    <mergeCell ref="B53:G53"/>
    <mergeCell ref="B55:G55"/>
    <mergeCell ref="B56:G56"/>
    <mergeCell ref="B57:G57"/>
    <mergeCell ref="B58:G58"/>
    <mergeCell ref="B59:G59"/>
    <mergeCell ref="B60:G60"/>
    <mergeCell ref="B61:G61"/>
    <mergeCell ref="C54:G54"/>
  </mergeCells>
  <pageMargins left="0.7" right="0.7" top="0.78740157499999996" bottom="0.78740157499999996" header="0.3" footer="0.3"/>
  <pageSetup paperSize="8" orientation="landscape" r:id="rId1"/>
  <drawing r:id="rId2"/>
  <legacyDrawing r:id="rId3"/>
  <oleObjects>
    <mc:AlternateContent xmlns:mc="http://schemas.openxmlformats.org/markup-compatibility/2006">
      <mc:Choice Requires="x14">
        <oleObject progId="Equation.3" shapeId="14346" r:id="rId4">
          <objectPr defaultSize="0" autoPict="0" r:id="rId5">
            <anchor moveWithCells="1" sizeWithCells="1">
              <from>
                <xdr:col>2</xdr:col>
                <xdr:colOff>838200</xdr:colOff>
                <xdr:row>55</xdr:row>
                <xdr:rowOff>66675</xdr:rowOff>
              </from>
              <to>
                <xdr:col>4</xdr:col>
                <xdr:colOff>828675</xdr:colOff>
                <xdr:row>56</xdr:row>
                <xdr:rowOff>0</xdr:rowOff>
              </to>
            </anchor>
          </objectPr>
        </oleObject>
      </mc:Choice>
      <mc:Fallback>
        <oleObject progId="Equation.3" shapeId="14346" r:id="rId4"/>
      </mc:Fallback>
    </mc:AlternateContent>
    <mc:AlternateContent xmlns:mc="http://schemas.openxmlformats.org/markup-compatibility/2006">
      <mc:Choice Requires="x14">
        <oleObject shapeId="14349" r:id="rId6">
          <objectPr defaultSize="0" autoPict="0" r:id="rId7">
            <anchor moveWithCells="1" sizeWithCells="1">
              <from>
                <xdr:col>0</xdr:col>
                <xdr:colOff>647700</xdr:colOff>
                <xdr:row>53</xdr:row>
                <xdr:rowOff>104775</xdr:rowOff>
              </from>
              <to>
                <xdr:col>0</xdr:col>
                <xdr:colOff>2686050</xdr:colOff>
                <xdr:row>53</xdr:row>
                <xdr:rowOff>733425</xdr:rowOff>
              </to>
            </anchor>
          </objectPr>
        </oleObject>
      </mc:Choice>
      <mc:Fallback>
        <oleObject shapeId="14349" r:id="rId6"/>
      </mc:Fallback>
    </mc:AlternateContent>
  </oleObjects>
</worksheet>
</file>

<file path=customXML/item6.xml>��< ? x m l   v e r s i o n = " 1 . 0 "   e n c o d i n g = " u t f - 1 6 " ? >  
 < p r o p e r t i e s   x m l n s = " h t t p : / / w w w . i m a n a g e . c o m / w o r k / x m l s c h e m a " >  
     < d o c u m e n t i d > O C _ U K ! 1 5 2 2 9 6 1 4 0 . 2 < / d o c u m e n t i d >  
     < s e n d e r i d > K A M I L A . B O C H E N E K < / s e n d e r i d >  
     < s e n d e r e m a i l > K A M I L A . B O C H E N E K @ O S B O R N E C L A R K E . C O M < / s e n d e r e m a i l >  
     < l a s t m o d i f i e d > 2 0 2 4 - 0 3 - 1 3 T 1 4 : 1 3 : 0 5 . 0 0 0 0 0 0 0 + 0 0 : 0 0 < / l a s t m o d i f i e d >  
     < d a t a b a s e > O C _ U K < / 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5a4f433-3fc6-464c-a1cf-5893fe937f70" ContentTypeId="0x010100C48EB0EC426CA94580DEF3C6E2389E3D" PreviousValue="false"/>
</file>

<file path=customXml/item2.xml><?xml version="1.0" encoding="utf-8"?>
<ct:contentTypeSchema xmlns:ct="http://schemas.microsoft.com/office/2006/metadata/contentType" xmlns:ma="http://schemas.microsoft.com/office/2006/metadata/properties/metaAttributes" ct:_="" ma:_="" ma:contentTypeName="DMS Document" ma:contentTypeID="0x010100C48EB0EC426CA94580DEF3C6E2389E3D008CD266C1125BE34D94106F329C927B96" ma:contentTypeVersion="6" ma:contentTypeDescription="Ein neues Dokument erstellen." ma:contentTypeScope="" ma:versionID="77afb673a1e54356017f0ed8f54f814d">
  <xsd:schema xmlns:xsd="http://www.w3.org/2001/XMLSchema" xmlns:xs="http://www.w3.org/2001/XMLSchema" xmlns:p="http://schemas.microsoft.com/office/2006/metadata/properties" xmlns:ns2="31dd97fb-e7b1-4361-b640-1f40efae1ae5" xmlns:ns3="1d785b13-7350-4401-8943-020de85ae22f" targetNamespace="http://schemas.microsoft.com/office/2006/metadata/properties" ma:root="true" ma:fieldsID="747d922277c3532eef64690af36fd0ce" ns2:_="" ns3:_="">
    <xsd:import namespace="31dd97fb-e7b1-4361-b640-1f40efae1ae5"/>
    <xsd:import namespace="1d785b13-7350-4401-8943-020de85ae22f"/>
    <xsd:element name="properties">
      <xsd:complexType>
        <xsd:sequence>
          <xsd:element name="documentManagement">
            <xsd:complexType>
              <xsd:all>
                <xsd:element ref="ns2:ClientCode" minOccurs="0"/>
                <xsd:element ref="ns2:ClientName" minOccurs="0"/>
                <xsd:element ref="ns2:MatterCode" minOccurs="0"/>
                <xsd:element ref="ns2:MatterName" minOccurs="0"/>
                <xsd:element ref="ns2:DocAuthor" minOccurs="0"/>
                <xsd:element ref="ns2:ExtranetUR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d97fb-e7b1-4361-b640-1f40efae1ae5" elementFormDefault="qualified">
    <xsd:import namespace="http://schemas.microsoft.com/office/2006/documentManagement/types"/>
    <xsd:import namespace="http://schemas.microsoft.com/office/infopath/2007/PartnerControls"/>
    <xsd:element name="ClientCode" ma:index="8" nillable="true" ma:displayName="ClientCode" ma:default="1929" ma:internalName="ClientCode" ma:readOnly="false">
      <xsd:simpleType>
        <xsd:restriction base="dms:Text"/>
      </xsd:simpleType>
    </xsd:element>
    <xsd:element name="ClientName" ma:index="9" nillable="true" ma:displayName="ClientName" ma:default="468 Capital GmbH &amp; Co. KG" ma:internalName="ClientName" ma:readOnly="false">
      <xsd:simpleType>
        <xsd:restriction base="dms:Text"/>
      </xsd:simpleType>
    </xsd:element>
    <xsd:element name="MatterCode" ma:index="10" nillable="true" ma:displayName="MatterCode" ma:default="20191008" ma:internalName="MatterCode" ma:readOnly="false">
      <xsd:simpleType>
        <xsd:restriction base="dms:Text"/>
      </xsd:simpleType>
    </xsd:element>
    <xsd:element name="MatterName" ma:index="11" nillable="true" ma:displayName="MatterName" ma:default="Rechtliche Beratung (Transaktionsbereich)" ma:internalName="MatterName" ma:readOnly="false">
      <xsd:simpleType>
        <xsd:restriction base="dms:Text"/>
      </xsd:simpleType>
    </xsd:element>
    <xsd:element name="DocAuthor" ma:index="12" nillable="true" ma:displayName="DocAuthor" ma:internalName="Doc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ranetURL" ma:index="13" nillable="true" ma:displayName="ExtranetURL" ma:hidden="true" ma:internalName="ExtranetURL"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785b13-7350-4401-8943-020de85ae22f" elementFormDefault="qualified">
    <xsd:import namespace="http://schemas.microsoft.com/office/2006/documentManagement/types"/>
    <xsd:import namespace="http://schemas.microsoft.com/office/infopath/2007/PartnerControls"/>
    <xsd:element name="_dlc_DocId" ma:index="14" nillable="true" ma:displayName="Wert der Dokument-ID" ma:description="Der Wert der diesem Element zugewiesenen Dokument-ID." ma:internalName="_dlc_DocId" ma:readOnly="true">
      <xsd:simpleType>
        <xsd:restriction base="dms:Text"/>
      </xsd:simpleType>
    </xsd:element>
    <xsd:element name="_dlc_DocIdUrl" ma:index="15"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Beständige ID" ma:description="ID beim Hinzufügen beibehalten."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ClientName xmlns="31dd97fb-e7b1-4361-b640-1f40efae1ae5">468 Capital GmbH &amp; Co. KG</ClientName>
    <MatterName xmlns="31dd97fb-e7b1-4361-b640-1f40efae1ae5">Rechtliche Beratung (Transaktionsbereich)</MatterName>
    <DocAuthor xmlns="31dd97fb-e7b1-4361-b640-1f40efae1ae5">
      <UserInfo>
        <DisplayName/>
        <AccountId xsi:nil="true"/>
        <AccountType/>
      </UserInfo>
    </DocAuthor>
    <MatterCode xmlns="31dd97fb-e7b1-4361-b640-1f40efae1ae5">20191008</MatterCode>
    <ExtranetURL xmlns="31dd97fb-e7b1-4361-b640-1f40efae1ae5" xsi:nil="true"/>
    <ClientCode xmlns="31dd97fb-e7b1-4361-b640-1f40efae1ae5">1929</ClientCode>
    <_dlc_DocId xmlns="1d785b13-7350-4401-8943-020de85ae22f">DMS005-1626405608-96</_dlc_DocId>
    <_dlc_DocIdUrl xmlns="1d785b13-7350-4401-8943-020de85ae22f">
      <Url>https://lawsmp.sharepoint.com/sites/DMS005/20191008/_layouts/15/DocIdRedir.aspx?ID=DMS005-1626405608-96</Url>
      <Description>DMS005-1626405608-96</Description>
    </_dlc_DocIdUrl>
  </documentManagement>
</p:properties>
</file>

<file path=customXml/itemProps1.xml><?xml version="1.0" encoding="utf-8"?>
<ds:datastoreItem xmlns:ds="http://schemas.openxmlformats.org/officeDocument/2006/customXml" ds:itemID="{82D8AFFE-E562-494C-9527-6A5C66B40BDA}">
  <ds:schemaRefs>
    <ds:schemaRef ds:uri="Microsoft.SharePoint.Taxonomy.ContentTypeSync"/>
  </ds:schemaRefs>
</ds:datastoreItem>
</file>

<file path=customXml/itemProps2.xml><?xml version="1.0" encoding="utf-8"?>
<ds:datastoreItem xmlns:ds="http://schemas.openxmlformats.org/officeDocument/2006/customXml" ds:itemID="{37C7C74A-345F-41D9-8FC8-43AD078FF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d97fb-e7b1-4361-b640-1f40efae1ae5"/>
    <ds:schemaRef ds:uri="1d785b13-7350-4401-8943-020de85ae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86C88A-E87D-4A5E-AF5D-C73FCBE5F71B}">
  <ds:schemaRefs>
    <ds:schemaRef ds:uri="http://schemas.microsoft.com/sharepoint/v3/contenttype/forms"/>
  </ds:schemaRefs>
</ds:datastoreItem>
</file>

<file path=customXml/itemProps4.xml><?xml version="1.0" encoding="utf-8"?>
<ds:datastoreItem xmlns:ds="http://schemas.openxmlformats.org/officeDocument/2006/customXml" ds:itemID="{320EF26D-C1FE-49CC-89BF-6B1C4A8627E6}">
  <ds:schemaRefs>
    <ds:schemaRef ds:uri="http://schemas.microsoft.com/sharepoint/events"/>
  </ds:schemaRefs>
</ds:datastoreItem>
</file>

<file path=customXml/itemProps5.xml><?xml version="1.0" encoding="utf-8"?>
<ds:datastoreItem xmlns:ds="http://schemas.openxmlformats.org/officeDocument/2006/customXml" ds:itemID="{E6BAE7FF-5647-4EAB-8440-12B3AB801B5B}">
  <ds:schemaRefs>
    <ds:schemaRef ds:uri="http://schemas.microsoft.com/office/infopath/2007/PartnerControls"/>
    <ds:schemaRef ds:uri="http://www.w3.org/XML/1998/namespace"/>
    <ds:schemaRef ds:uri="31dd97fb-e7b1-4361-b640-1f40efae1ae5"/>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elements/1.1/"/>
    <ds:schemaRef ds:uri="1d785b13-7350-4401-8943-020de85ae22f"/>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Current Capitalisation (DATE)</vt:lpstr>
      <vt:lpstr>ESOP Allocation (DATE)</vt:lpstr>
      <vt:lpstr>Subscriptions</vt:lpstr>
      <vt:lpstr>CLA Conversion</vt:lpstr>
      <vt:lpstr>Warrant</vt:lpstr>
      <vt:lpstr>Secondary</vt:lpstr>
      <vt:lpstr>Post Completion</vt:lpstr>
      <vt:lpstr>Anti-Dilution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Joanna Chudzinski</dc:creator>
  <cp:lastModifiedBy>Kamila Bochenek</cp:lastModifiedBy>
  <dcterms:created xsi:type="dcterms:W3CDTF">2018-07-31T07:56:46Z</dcterms:created>
  <dcterms:modified xsi:type="dcterms:W3CDTF">2024-03-13T14:13:05Z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0x010100C48EB0EC426CA94580DEF3C6E2389E3D008CD266C1125BE34D94106F329C927B96</vt:lpwstr>
  </property>
  <property fmtid="{D5CDD505-2E9C-101B-9397-08002B2CF9AE}" pid="3" name="_dlc_DocIdItemGuid">
    <vt:lpwstr>3b4dfc1d-67b4-480f-8c16-100475875114</vt:lpwstr>
  </property>
  <property fmtid="{D5CDD505-2E9C-101B-9397-08002B2CF9AE}" pid="4" name="Sender name">
    <vt:lpwstr/>
  </property>
  <property fmtid="{D5CDD505-2E9C-101B-9397-08002B2CF9AE}" pid="5" name="Sent representing e-mail address">
    <vt:lpwstr/>
  </property>
  <property fmtid="{D5CDD505-2E9C-101B-9397-08002B2CF9AE}" pid="6" name="Topic">
    <vt:lpwstr>outsmart.ai Cap Table -OC- 22.07.2020.XLSX</vt:lpwstr>
  </property>
  <property fmtid="{D5CDD505-2E9C-101B-9397-08002B2CF9AE}" pid="7" name="Conversation topic">
    <vt:lpwstr>outsmart.ai Cap Table -OC- 22.07.2020.XLSX</vt:lpwstr>
  </property>
  <property fmtid="{D5CDD505-2E9C-101B-9397-08002B2CF9AE}" pid="8" name="Message delivery time">
    <vt:filetime>2020-07-23T08:15:08Z</vt:filetime>
  </property>
  <property fmtid="{D5CDD505-2E9C-101B-9397-08002B2CF9AE}" pid="9" name="Transport message headers">
    <vt:lpwstr/>
  </property>
  <property fmtid="{D5CDD505-2E9C-101B-9397-08002B2CF9AE}" pid="10" name="BCC">
    <vt:lpwstr/>
  </property>
  <property fmtid="{D5CDD505-2E9C-101B-9397-08002B2CF9AE}" pid="11" name="SMTPCC">
    <vt:lpwstr/>
  </property>
  <property fmtid="{D5CDD505-2E9C-101B-9397-08002B2CF9AE}" pid="12" name="Received by address type">
    <vt:lpwstr/>
  </property>
  <property fmtid="{D5CDD505-2E9C-101B-9397-08002B2CF9AE}" pid="13" name="SMTPTo">
    <vt:lpwstr/>
  </property>
  <property fmtid="{D5CDD505-2E9C-101B-9397-08002B2CF9AE}" pid="14" name="Received by name">
    <vt:lpwstr/>
  </property>
  <property fmtid="{D5CDD505-2E9C-101B-9397-08002B2CF9AE}" pid="15" name="CC">
    <vt:lpwstr/>
  </property>
  <property fmtid="{D5CDD505-2E9C-101B-9397-08002B2CF9AE}" pid="16" name="Internet message id">
    <vt:lpwstr/>
  </property>
  <property fmtid="{D5CDD505-2E9C-101B-9397-08002B2CF9AE}" pid="17" name="Sender address type">
    <vt:lpwstr/>
  </property>
  <property fmtid="{D5CDD505-2E9C-101B-9397-08002B2CF9AE}" pid="18" name="Has attachment">
    <vt:bool>true</vt:bool>
  </property>
  <property fmtid="{D5CDD505-2E9C-101B-9397-08002B2CF9AE}" pid="19" name="Received representing name">
    <vt:lpwstr/>
  </property>
  <property fmtid="{D5CDD505-2E9C-101B-9397-08002B2CF9AE}" pid="20" name="To">
    <vt:lpwstr/>
  </property>
  <property fmtid="{D5CDD505-2E9C-101B-9397-08002B2CF9AE}" pid="21" name="Received by e-mail address">
    <vt:lpwstr/>
  </property>
  <property fmtid="{D5CDD505-2E9C-101B-9397-08002B2CF9AE}" pid="22" name="Message class">
    <vt:lpwstr>IPM.Document.Excel.Sheet.12</vt:lpwstr>
  </property>
  <property fmtid="{D5CDD505-2E9C-101B-9397-08002B2CF9AE}" pid="23" name="Sender e-mail address">
    <vt:lpwstr/>
  </property>
  <property fmtid="{D5CDD505-2E9C-101B-9397-08002B2CF9AE}" pid="24" name="SMTPFrom">
    <vt:lpwstr/>
  </property>
  <property fmtid="{D5CDD505-2E9C-101B-9397-08002B2CF9AE}" pid="25" name="Creation time">
    <vt:filetime>2020-07-23T16:59:49Z</vt:filetime>
  </property>
  <property fmtid="{D5CDD505-2E9C-101B-9397-08002B2CF9AE}" pid="26" name="Received representing e-mail address">
    <vt:lpwstr/>
  </property>
  <property fmtid="{D5CDD505-2E9C-101B-9397-08002B2CF9AE}" pid="27" name="Importance">
    <vt:r8>0</vt:r8>
  </property>
  <property fmtid="{D5CDD505-2E9C-101B-9397-08002B2CF9AE}" pid="28" name="Message size">
    <vt:r8>47104</vt:r8>
  </property>
  <property fmtid="{D5CDD505-2E9C-101B-9397-08002B2CF9AE}" pid="29" name="Received representing address type">
    <vt:lpwstr/>
  </property>
  <property fmtid="{D5CDD505-2E9C-101B-9397-08002B2CF9AE}" pid="30" name="Sent representing name">
    <vt:lpwstr/>
  </property>
  <property fmtid="{D5CDD505-2E9C-101B-9397-08002B2CF9AE}" pid="31" name="Sent representing address type">
    <vt:lpwstr/>
  </property>
  <property fmtid="{D5CDD505-2E9C-101B-9397-08002B2CF9AE}" pid="32" name="SMTPBCC">
    <vt:lpwstr/>
  </property>
  <property fmtid="{D5CDD505-2E9C-101B-9397-08002B2CF9AE}" pid="33" name="Sensitivity">
    <vt:r8>0</vt:r8>
  </property>
  <property fmtid="{D5CDD505-2E9C-101B-9397-08002B2CF9AE}" pid="34" name="Internet CPID">
    <vt:r8>28591</vt:r8>
  </property>
</Properties>
</file>