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anna.chudzinski\AppData\Local\Microsoft\Windows\INetCache\Content.Outlook\01JXJ9VM\"/>
    </mc:Choice>
  </mc:AlternateContent>
  <xr:revisionPtr revIDLastSave="0" documentId="13_ncr:1_{E0F97C47-B8F6-47F6-AA94-EC484DB5D685}" xr6:coauthVersionLast="47" xr6:coauthVersionMax="47" xr10:uidLastSave="{00000000-0000-0000-0000-000000000000}"/>
  <bookViews>
    <workbookView xWindow="-120" yWindow="-120" windowWidth="29040" windowHeight="15840" tabRatio="704" activeTab="7" xr2:uid="{00000000-000D-0000-FFFF-FFFF00000000}"/>
  </bookViews>
  <sheets>
    <sheet name="HOW TO USE" sheetId="20" r:id="rId1"/>
    <sheet name="Current Capitalisation -XX.2024" sheetId="1" r:id="rId2"/>
    <sheet name="VESOP + Reverse Vesting" sheetId="17" r:id="rId3"/>
    <sheet name="Vesting Schedule " sheetId="18" r:id="rId4"/>
    <sheet name="Subscriptions - Series C" sheetId="7" r:id="rId5"/>
    <sheet name="CLA Conversion" sheetId="11" r:id="rId6"/>
    <sheet name="Warrant" sheetId="15" r:id="rId7"/>
    <sheet name="Secondary" sheetId="16" r:id="rId8"/>
    <sheet name="Post Completion" sheetId="10" r:id="rId9"/>
    <sheet name="Anti-dilution" sheetId="19" r:id="rId10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1" l="1"/>
  <c r="M28" i="1"/>
  <c r="M26" i="1"/>
  <c r="G13" i="16"/>
  <c r="G12" i="16"/>
  <c r="C13" i="16"/>
  <c r="C12" i="16"/>
  <c r="B57" i="19"/>
  <c r="D57" i="19"/>
  <c r="C57" i="19"/>
  <c r="A122" i="19"/>
  <c r="B121" i="19"/>
  <c r="M121" i="19" s="1"/>
  <c r="A121" i="19"/>
  <c r="A120" i="19"/>
  <c r="A116" i="19"/>
  <c r="A115" i="19"/>
  <c r="A114" i="19"/>
  <c r="A113" i="19"/>
  <c r="A112" i="19"/>
  <c r="A111" i="19"/>
  <c r="A109" i="19"/>
  <c r="A108" i="19"/>
  <c r="A107" i="19"/>
  <c r="E105" i="19"/>
  <c r="A105" i="19"/>
  <c r="F104" i="19"/>
  <c r="E104" i="19"/>
  <c r="A104" i="19"/>
  <c r="F103" i="19"/>
  <c r="D103" i="19"/>
  <c r="A103" i="19"/>
  <c r="D102" i="19"/>
  <c r="A102" i="19"/>
  <c r="A101" i="19"/>
  <c r="C99" i="19"/>
  <c r="M99" i="19" s="1"/>
  <c r="A99" i="19"/>
  <c r="C98" i="19"/>
  <c r="M98" i="19" s="1"/>
  <c r="A98" i="19"/>
  <c r="A97" i="19"/>
  <c r="C95" i="19"/>
  <c r="A95" i="19"/>
  <c r="C94" i="19"/>
  <c r="M94" i="19" s="1"/>
  <c r="A94" i="19"/>
  <c r="G90" i="19"/>
  <c r="F90" i="19"/>
  <c r="E90" i="19"/>
  <c r="D90" i="19"/>
  <c r="C90" i="19"/>
  <c r="B90" i="19"/>
  <c r="E25" i="17"/>
  <c r="E24" i="17"/>
  <c r="G26" i="11"/>
  <c r="G25" i="11"/>
  <c r="G24" i="11"/>
  <c r="N26" i="1" l="1"/>
  <c r="M95" i="19"/>
  <c r="J95" i="19"/>
  <c r="J98" i="19"/>
  <c r="J94" i="19"/>
  <c r="J99" i="19"/>
  <c r="F124" i="19"/>
  <c r="C124" i="19"/>
  <c r="C27" i="19" s="1"/>
  <c r="D124" i="19"/>
  <c r="D28" i="19" l="1"/>
  <c r="C28" i="19"/>
  <c r="D30" i="19"/>
  <c r="C30" i="19"/>
  <c r="C26" i="1"/>
  <c r="F20" i="10"/>
  <c r="F19" i="10"/>
  <c r="F40" i="10" s="1"/>
  <c r="E13" i="16"/>
  <c r="I13" i="16"/>
  <c r="E103" i="19" s="1"/>
  <c r="I12" i="16"/>
  <c r="E102" i="19" s="1"/>
  <c r="E124" i="19" s="1"/>
  <c r="D29" i="19" s="1"/>
  <c r="E12" i="16"/>
  <c r="A13" i="16"/>
  <c r="A12" i="16"/>
  <c r="G20" i="10" l="1"/>
  <c r="C29" i="19"/>
  <c r="G19" i="10"/>
  <c r="B56" i="19"/>
  <c r="D56" i="19"/>
  <c r="C56" i="19"/>
  <c r="I15" i="16"/>
  <c r="K25" i="17"/>
  <c r="K24" i="17"/>
  <c r="A25" i="17"/>
  <c r="A24" i="17"/>
  <c r="C12" i="18"/>
  <c r="H10" i="18"/>
  <c r="H13" i="18" s="1"/>
  <c r="H16" i="18" s="1"/>
  <c r="H19" i="18" s="1"/>
  <c r="H22" i="18" s="1"/>
  <c r="H25" i="18" s="1"/>
  <c r="H28" i="18" s="1"/>
  <c r="H31" i="18" s="1"/>
  <c r="H34" i="18" s="1"/>
  <c r="H37" i="18" s="1"/>
  <c r="H40" i="18" s="1"/>
  <c r="H43" i="18" s="1"/>
  <c r="H46" i="18" s="1"/>
  <c r="H49" i="18" s="1"/>
  <c r="H52" i="18" s="1"/>
  <c r="H55" i="18" s="1"/>
  <c r="H58" i="18" s="1"/>
  <c r="H61" i="18" s="1"/>
  <c r="H64" i="18" s="1"/>
  <c r="H67" i="18" s="1"/>
  <c r="H70" i="18" s="1"/>
  <c r="H73" i="18" s="1"/>
  <c r="H76" i="18" s="1"/>
  <c r="H79" i="18" s="1"/>
  <c r="H82" i="18" s="1"/>
  <c r="H85" i="18" s="1"/>
  <c r="H88" i="18" s="1"/>
  <c r="H91" i="18" s="1"/>
  <c r="H94" i="18" s="1"/>
  <c r="H97" i="18" s="1"/>
  <c r="H100" i="18" s="1"/>
  <c r="H103" i="18" s="1"/>
  <c r="H106" i="18" s="1"/>
  <c r="H109" i="18" s="1"/>
  <c r="H112" i="18" s="1"/>
  <c r="H115" i="18" s="1"/>
  <c r="H118" i="18" s="1"/>
  <c r="H121" i="18" s="1"/>
  <c r="H120" i="18"/>
  <c r="H117" i="18"/>
  <c r="H114" i="18"/>
  <c r="H111" i="18"/>
  <c r="H108" i="18"/>
  <c r="H105" i="18"/>
  <c r="H102" i="18"/>
  <c r="H99" i="18"/>
  <c r="H96" i="18"/>
  <c r="H93" i="18"/>
  <c r="H90" i="18"/>
  <c r="H87" i="18"/>
  <c r="H84" i="18"/>
  <c r="H81" i="18"/>
  <c r="H78" i="18"/>
  <c r="H75" i="18"/>
  <c r="H72" i="18"/>
  <c r="H69" i="18"/>
  <c r="H66" i="18"/>
  <c r="H63" i="18"/>
  <c r="H60" i="18"/>
  <c r="H57" i="18"/>
  <c r="H54" i="18"/>
  <c r="H51" i="18"/>
  <c r="H48" i="18"/>
  <c r="H45" i="18"/>
  <c r="H42" i="18"/>
  <c r="H39" i="18"/>
  <c r="H36" i="18"/>
  <c r="H33" i="18"/>
  <c r="H30" i="18"/>
  <c r="H27" i="18"/>
  <c r="H24" i="18"/>
  <c r="H21" i="18"/>
  <c r="H18" i="18"/>
  <c r="H15" i="18" s="1"/>
  <c r="E10" i="18"/>
  <c r="E13" i="18" s="1"/>
  <c r="E16" i="18" s="1"/>
  <c r="E19" i="18" s="1"/>
  <c r="E22" i="18" s="1"/>
  <c r="E25" i="18" s="1"/>
  <c r="E28" i="18" s="1"/>
  <c r="E31" i="18" s="1"/>
  <c r="E34" i="18" s="1"/>
  <c r="E37" i="18" s="1"/>
  <c r="E40" i="18" s="1"/>
  <c r="E43" i="18" s="1"/>
  <c r="E46" i="18" s="1"/>
  <c r="E49" i="18" s="1"/>
  <c r="E52" i="18" s="1"/>
  <c r="E55" i="18" s="1"/>
  <c r="E58" i="18" s="1"/>
  <c r="E61" i="18" s="1"/>
  <c r="E64" i="18" s="1"/>
  <c r="E67" i="18" s="1"/>
  <c r="E70" i="18" s="1"/>
  <c r="E73" i="18" s="1"/>
  <c r="E76" i="18" s="1"/>
  <c r="E79" i="18" s="1"/>
  <c r="E82" i="18" s="1"/>
  <c r="E85" i="18" s="1"/>
  <c r="E88" i="18" s="1"/>
  <c r="E91" i="18" s="1"/>
  <c r="E94" i="18" s="1"/>
  <c r="E97" i="18" s="1"/>
  <c r="E100" i="18" s="1"/>
  <c r="E103" i="18" s="1"/>
  <c r="E106" i="18" s="1"/>
  <c r="E109" i="18" s="1"/>
  <c r="E112" i="18" s="1"/>
  <c r="E115" i="18" s="1"/>
  <c r="E118" i="18" s="1"/>
  <c r="E121" i="18" s="1"/>
  <c r="B121" i="18"/>
  <c r="E120" i="18"/>
  <c r="B118" i="18"/>
  <c r="E117" i="18"/>
  <c r="B115" i="18"/>
  <c r="E114" i="18"/>
  <c r="B112" i="18"/>
  <c r="E111" i="18"/>
  <c r="B109" i="18"/>
  <c r="E108" i="18"/>
  <c r="B106" i="18"/>
  <c r="E105" i="18"/>
  <c r="B103" i="18"/>
  <c r="E102" i="18"/>
  <c r="B100" i="18"/>
  <c r="E99" i="18"/>
  <c r="B97" i="18"/>
  <c r="E96" i="18"/>
  <c r="B94" i="18"/>
  <c r="E93" i="18"/>
  <c r="B91" i="18"/>
  <c r="E90" i="18"/>
  <c r="B88" i="18"/>
  <c r="E87" i="18"/>
  <c r="B85" i="18"/>
  <c r="E84" i="18"/>
  <c r="B82" i="18"/>
  <c r="E81" i="18"/>
  <c r="B79" i="18"/>
  <c r="E78" i="18"/>
  <c r="B76" i="18"/>
  <c r="E75" i="18"/>
  <c r="B73" i="18"/>
  <c r="E72" i="18"/>
  <c r="B70" i="18"/>
  <c r="E69" i="18"/>
  <c r="B67" i="18"/>
  <c r="E66" i="18"/>
  <c r="B64" i="18"/>
  <c r="E63" i="18"/>
  <c r="B61" i="18"/>
  <c r="E60" i="18"/>
  <c r="B58" i="18"/>
  <c r="E57" i="18"/>
  <c r="B55" i="18"/>
  <c r="E54" i="18"/>
  <c r="B52" i="18"/>
  <c r="E51" i="18"/>
  <c r="B49" i="18"/>
  <c r="E48" i="18"/>
  <c r="B46" i="18"/>
  <c r="E45" i="18"/>
  <c r="B43" i="18"/>
  <c r="E42" i="18"/>
  <c r="B40" i="18"/>
  <c r="E39" i="18"/>
  <c r="B37" i="18"/>
  <c r="E36" i="18"/>
  <c r="B34" i="18"/>
  <c r="E33" i="18"/>
  <c r="B31" i="18"/>
  <c r="E30" i="18"/>
  <c r="B28" i="18"/>
  <c r="E27" i="18"/>
  <c r="B25" i="18"/>
  <c r="E24" i="18"/>
  <c r="B22" i="18"/>
  <c r="E21" i="18"/>
  <c r="B19" i="18"/>
  <c r="E18" i="18"/>
  <c r="E15" i="18" s="1"/>
  <c r="B16" i="18"/>
  <c r="C19" i="17"/>
  <c r="C8" i="17" s="1"/>
  <c r="C10" i="17"/>
  <c r="F12" i="18" l="1"/>
  <c r="C18" i="18"/>
  <c r="F18" i="18"/>
  <c r="F15" i="18"/>
  <c r="C25" i="1"/>
  <c r="C37" i="10" s="1"/>
  <c r="N37" i="10" s="1"/>
  <c r="C15" i="18"/>
  <c r="E12" i="15"/>
  <c r="C8" i="7"/>
  <c r="C17" i="15"/>
  <c r="A33" i="10"/>
  <c r="A32" i="10"/>
  <c r="A29" i="10"/>
  <c r="A30" i="10"/>
  <c r="A31" i="10"/>
  <c r="A28" i="10"/>
  <c r="H20" i="10"/>
  <c r="H21" i="10"/>
  <c r="G21" i="10"/>
  <c r="G22" i="10"/>
  <c r="K22" i="10" s="1"/>
  <c r="K19" i="10"/>
  <c r="E16" i="10"/>
  <c r="N16" i="10" s="1"/>
  <c r="E15" i="10"/>
  <c r="N15" i="10" s="1"/>
  <c r="E12" i="10"/>
  <c r="N12" i="10" s="1"/>
  <c r="E11" i="10"/>
  <c r="C7" i="10"/>
  <c r="E7" i="10"/>
  <c r="I7" i="10"/>
  <c r="H7" i="10"/>
  <c r="F7" i="10"/>
  <c r="G7" i="10"/>
  <c r="A25" i="10"/>
  <c r="A26" i="10"/>
  <c r="A24" i="10"/>
  <c r="A38" i="10"/>
  <c r="A37" i="10"/>
  <c r="A36" i="10"/>
  <c r="A22" i="10"/>
  <c r="A21" i="10"/>
  <c r="A20" i="10"/>
  <c r="A19" i="10"/>
  <c r="A18" i="10"/>
  <c r="A16" i="10"/>
  <c r="A15" i="10"/>
  <c r="A14" i="10"/>
  <c r="A12" i="10"/>
  <c r="A11" i="10"/>
  <c r="K20" i="10" l="1"/>
  <c r="F21" i="18"/>
  <c r="C21" i="18"/>
  <c r="K21" i="10"/>
  <c r="F24" i="18" l="1"/>
  <c r="C24" i="18"/>
  <c r="I26" i="11"/>
  <c r="K26" i="11" s="1"/>
  <c r="E26" i="11"/>
  <c r="E25" i="11"/>
  <c r="I25" i="11" s="1"/>
  <c r="K25" i="11" s="1"/>
  <c r="E24" i="11"/>
  <c r="I24" i="11" s="1"/>
  <c r="K24" i="11" s="1"/>
  <c r="C28" i="7"/>
  <c r="C23" i="7"/>
  <c r="C31" i="7" s="1"/>
  <c r="M25" i="1"/>
  <c r="M22" i="1"/>
  <c r="M21" i="1"/>
  <c r="M20" i="1"/>
  <c r="M19" i="1"/>
  <c r="M16" i="1"/>
  <c r="M15" i="1"/>
  <c r="M12" i="1"/>
  <c r="M11" i="1"/>
  <c r="F27" i="18" l="1"/>
  <c r="C27" i="18"/>
  <c r="K28" i="11"/>
  <c r="C28" i="11"/>
  <c r="N20" i="10"/>
  <c r="N19" i="10"/>
  <c r="N11" i="10"/>
  <c r="K16" i="10"/>
  <c r="K15" i="10"/>
  <c r="K12" i="10"/>
  <c r="K11" i="10"/>
  <c r="H40" i="10"/>
  <c r="G40" i="10"/>
  <c r="E40" i="10"/>
  <c r="F30" i="18" l="1"/>
  <c r="C30" i="18"/>
  <c r="F33" i="18" l="1"/>
  <c r="C33" i="18"/>
  <c r="I28" i="11"/>
  <c r="F36" i="18" l="1"/>
  <c r="C36" i="18"/>
  <c r="J12" i="1"/>
  <c r="J15" i="1"/>
  <c r="J16" i="1"/>
  <c r="J19" i="1"/>
  <c r="J20" i="1"/>
  <c r="J21" i="1"/>
  <c r="J22" i="1"/>
  <c r="J11" i="1"/>
  <c r="E28" i="1"/>
  <c r="F28" i="1"/>
  <c r="G28" i="1"/>
  <c r="H28" i="1"/>
  <c r="F39" i="18" l="1"/>
  <c r="C39" i="18"/>
  <c r="J28" i="1"/>
  <c r="K12" i="1"/>
  <c r="F42" i="18" l="1"/>
  <c r="C42" i="18"/>
  <c r="N19" i="1"/>
  <c r="C14" i="11"/>
  <c r="C15" i="11" s="1"/>
  <c r="N15" i="1"/>
  <c r="N12" i="1"/>
  <c r="N25" i="1"/>
  <c r="N11" i="1"/>
  <c r="N22" i="1"/>
  <c r="N21" i="1"/>
  <c r="N20" i="1"/>
  <c r="N16" i="1"/>
  <c r="K19" i="1"/>
  <c r="K15" i="1"/>
  <c r="K16" i="1"/>
  <c r="K20" i="1"/>
  <c r="K21" i="1"/>
  <c r="K22" i="1"/>
  <c r="K11" i="1"/>
  <c r="O17" i="1" l="1"/>
  <c r="O23" i="1"/>
  <c r="O13" i="1"/>
  <c r="F45" i="18"/>
  <c r="C45" i="18"/>
  <c r="K28" i="1"/>
  <c r="F48" i="18" l="1"/>
  <c r="C48" i="18"/>
  <c r="F51" i="18" l="1"/>
  <c r="C51" i="18"/>
  <c r="N21" i="10"/>
  <c r="N22" i="10"/>
  <c r="F54" i="18" l="1"/>
  <c r="C54" i="18"/>
  <c r="F57" i="18" l="1"/>
  <c r="C57" i="18"/>
  <c r="F60" i="18" l="1"/>
  <c r="C60" i="18"/>
  <c r="F63" i="18" l="1"/>
  <c r="C63" i="18"/>
  <c r="F66" i="18" l="1"/>
  <c r="C66" i="18"/>
  <c r="F69" i="18" l="1"/>
  <c r="C69" i="18"/>
  <c r="F72" i="18" l="1"/>
  <c r="C72" i="18"/>
  <c r="F75" i="18" l="1"/>
  <c r="C75" i="18"/>
  <c r="F78" i="18" l="1"/>
  <c r="C78" i="18"/>
  <c r="F81" i="18" l="1"/>
  <c r="C81" i="18"/>
  <c r="F84" i="18" l="1"/>
  <c r="C84" i="18"/>
  <c r="F87" i="18" l="1"/>
  <c r="C87" i="18"/>
  <c r="F90" i="18" l="1"/>
  <c r="C90" i="18"/>
  <c r="F93" i="18" l="1"/>
  <c r="C93" i="18"/>
  <c r="F96" i="18" l="1"/>
  <c r="C96" i="18"/>
  <c r="F99" i="18" l="1"/>
  <c r="C99" i="18"/>
  <c r="F102" i="18" l="1"/>
  <c r="C102" i="18"/>
  <c r="F105" i="18" l="1"/>
  <c r="C105" i="18"/>
  <c r="F108" i="18" l="1"/>
  <c r="C108" i="18"/>
  <c r="F111" i="18" l="1"/>
  <c r="C111" i="18"/>
  <c r="F114" i="18" l="1"/>
  <c r="C114" i="18"/>
  <c r="F117" i="18" l="1"/>
  <c r="C117" i="18"/>
  <c r="F120" i="18" l="1"/>
  <c r="C120" i="18"/>
  <c r="C28" i="1"/>
  <c r="C39" i="7" s="1"/>
  <c r="C41" i="7" s="1"/>
  <c r="C40" i="7"/>
  <c r="B10" i="19"/>
  <c r="C10" i="19"/>
  <c r="D10" i="19"/>
  <c r="E10" i="19"/>
  <c r="B11" i="19"/>
  <c r="C11" i="19"/>
  <c r="D11" i="19"/>
  <c r="E11" i="19"/>
  <c r="B13" i="19"/>
  <c r="C13" i="19"/>
  <c r="D13" i="19"/>
  <c r="E13" i="19"/>
  <c r="B14" i="19"/>
  <c r="C14" i="19"/>
  <c r="D14" i="19"/>
  <c r="E14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B20" i="19"/>
  <c r="C20" i="19"/>
  <c r="D20" i="19"/>
  <c r="E20" i="19"/>
  <c r="B21" i="19"/>
  <c r="C21" i="19"/>
  <c r="D21" i="19"/>
  <c r="E21" i="19"/>
  <c r="B22" i="19"/>
  <c r="C22" i="19"/>
  <c r="D22" i="19"/>
  <c r="E22" i="19"/>
  <c r="C26" i="19"/>
  <c r="B31" i="19"/>
  <c r="C31" i="19"/>
  <c r="D31" i="19"/>
  <c r="B32" i="19"/>
  <c r="C32" i="19"/>
  <c r="D32" i="19"/>
  <c r="B33" i="19"/>
  <c r="C33" i="19"/>
  <c r="D33" i="19"/>
  <c r="C34" i="19"/>
  <c r="D34" i="19"/>
  <c r="B54" i="19"/>
  <c r="C54" i="19"/>
  <c r="D54" i="19"/>
  <c r="E54" i="19"/>
  <c r="F54" i="19"/>
  <c r="G54" i="19"/>
  <c r="B55" i="19"/>
  <c r="C55" i="19"/>
  <c r="D55" i="19"/>
  <c r="E55" i="19"/>
  <c r="F55" i="19"/>
  <c r="G55" i="19"/>
  <c r="E56" i="19"/>
  <c r="F56" i="19"/>
  <c r="G56" i="19"/>
  <c r="E57" i="19"/>
  <c r="F57" i="19"/>
  <c r="G57" i="19"/>
  <c r="B58" i="19"/>
  <c r="C58" i="19"/>
  <c r="D58" i="19"/>
  <c r="E58" i="19"/>
  <c r="F58" i="19"/>
  <c r="G58" i="19"/>
  <c r="B61" i="19"/>
  <c r="C61" i="19"/>
  <c r="D61" i="19"/>
  <c r="E61" i="19"/>
  <c r="F61" i="19"/>
  <c r="G61" i="19"/>
  <c r="B62" i="19"/>
  <c r="C62" i="19"/>
  <c r="D62" i="19"/>
  <c r="E62" i="19"/>
  <c r="F62" i="19"/>
  <c r="G62" i="19"/>
  <c r="H62" i="19"/>
  <c r="B69" i="19"/>
  <c r="C69" i="19"/>
  <c r="H69" i="19"/>
  <c r="B70" i="19"/>
  <c r="C70" i="19"/>
  <c r="D70" i="19"/>
  <c r="H70" i="19"/>
  <c r="C71" i="19"/>
  <c r="D71" i="19"/>
  <c r="H71" i="19"/>
  <c r="C72" i="19"/>
  <c r="H72" i="19"/>
  <c r="F74" i="19"/>
  <c r="G74" i="19"/>
  <c r="H74" i="19"/>
  <c r="F75" i="19"/>
  <c r="G75" i="19"/>
  <c r="H75" i="19"/>
  <c r="G76" i="19"/>
  <c r="H76" i="19"/>
  <c r="E78" i="19"/>
  <c r="H78" i="19"/>
  <c r="E79" i="19"/>
  <c r="H79" i="19"/>
  <c r="E80" i="19"/>
  <c r="H80" i="19"/>
  <c r="E81" i="19"/>
  <c r="H81" i="19"/>
  <c r="E82" i="19"/>
  <c r="H82" i="19"/>
  <c r="E83" i="19"/>
  <c r="H83" i="19"/>
  <c r="B85" i="19"/>
  <c r="C85" i="19"/>
  <c r="D85" i="19"/>
  <c r="E85" i="19"/>
  <c r="F85" i="19"/>
  <c r="G85" i="19"/>
  <c r="H85" i="19"/>
  <c r="K94" i="19"/>
  <c r="N94" i="19"/>
  <c r="K95" i="19"/>
  <c r="N95" i="19"/>
  <c r="O96" i="19"/>
  <c r="K97" i="19"/>
  <c r="K98" i="19"/>
  <c r="N98" i="19"/>
  <c r="K99" i="19"/>
  <c r="N99" i="19"/>
  <c r="O100" i="19"/>
  <c r="H102" i="19"/>
  <c r="J102" i="19"/>
  <c r="K102" i="19"/>
  <c r="M102" i="19"/>
  <c r="N102" i="19"/>
  <c r="H103" i="19"/>
  <c r="J103" i="19"/>
  <c r="K103" i="19"/>
  <c r="M103" i="19"/>
  <c r="N103" i="19"/>
  <c r="H104" i="19"/>
  <c r="J104" i="19"/>
  <c r="K104" i="19"/>
  <c r="M104" i="19"/>
  <c r="N104" i="19"/>
  <c r="H105" i="19"/>
  <c r="J105" i="19"/>
  <c r="K105" i="19"/>
  <c r="M105" i="19"/>
  <c r="N105" i="19"/>
  <c r="G107" i="19"/>
  <c r="H107" i="19"/>
  <c r="J107" i="19"/>
  <c r="K107" i="19"/>
  <c r="M107" i="19"/>
  <c r="N107" i="19"/>
  <c r="G108" i="19"/>
  <c r="H108" i="19"/>
  <c r="J108" i="19"/>
  <c r="K108" i="19"/>
  <c r="M108" i="19"/>
  <c r="N108" i="19"/>
  <c r="G109" i="19"/>
  <c r="H109" i="19"/>
  <c r="J109" i="19"/>
  <c r="K109" i="19"/>
  <c r="M109" i="19"/>
  <c r="N109" i="19"/>
  <c r="G111" i="19"/>
  <c r="H111" i="19"/>
  <c r="J111" i="19"/>
  <c r="K111" i="19"/>
  <c r="M111" i="19"/>
  <c r="N111" i="19"/>
  <c r="G112" i="19"/>
  <c r="H112" i="19"/>
  <c r="J112" i="19"/>
  <c r="K112" i="19"/>
  <c r="M112" i="19"/>
  <c r="N112" i="19"/>
  <c r="G113" i="19"/>
  <c r="H113" i="19"/>
  <c r="J113" i="19"/>
  <c r="K113" i="19"/>
  <c r="M113" i="19"/>
  <c r="N113" i="19"/>
  <c r="G114" i="19"/>
  <c r="H114" i="19"/>
  <c r="J114" i="19"/>
  <c r="K114" i="19"/>
  <c r="M114" i="19"/>
  <c r="N114" i="19"/>
  <c r="G115" i="19"/>
  <c r="H115" i="19"/>
  <c r="J115" i="19"/>
  <c r="K115" i="19"/>
  <c r="M115" i="19"/>
  <c r="N115" i="19"/>
  <c r="G116" i="19"/>
  <c r="H116" i="19"/>
  <c r="J116" i="19"/>
  <c r="K116" i="19"/>
  <c r="M116" i="19"/>
  <c r="N116" i="19"/>
  <c r="O117" i="19"/>
  <c r="I118" i="19"/>
  <c r="N121" i="19"/>
  <c r="B122" i="19"/>
  <c r="M122" i="19"/>
  <c r="N122" i="19"/>
  <c r="O123" i="19"/>
  <c r="B124" i="19"/>
  <c r="G124" i="19"/>
  <c r="H124" i="19"/>
  <c r="I124" i="19"/>
  <c r="J124" i="19"/>
  <c r="K124" i="19"/>
  <c r="M124" i="19"/>
  <c r="N124" i="19"/>
  <c r="C8" i="11"/>
  <c r="C10" i="11"/>
  <c r="C11" i="11"/>
  <c r="C16" i="11"/>
  <c r="M24" i="11"/>
  <c r="O24" i="11"/>
  <c r="Q24" i="11"/>
  <c r="M25" i="11"/>
  <c r="O25" i="11"/>
  <c r="Q25" i="11"/>
  <c r="M26" i="11"/>
  <c r="O26" i="11"/>
  <c r="Q26" i="11"/>
  <c r="M28" i="11"/>
  <c r="O28" i="11"/>
  <c r="Q28" i="11"/>
  <c r="L11" i="10"/>
  <c r="O11" i="10"/>
  <c r="L12" i="10"/>
  <c r="O12" i="10"/>
  <c r="P13" i="10"/>
  <c r="L14" i="10"/>
  <c r="L15" i="10"/>
  <c r="O15" i="10"/>
  <c r="L16" i="10"/>
  <c r="O16" i="10"/>
  <c r="P17" i="10"/>
  <c r="L19" i="10"/>
  <c r="O19" i="10"/>
  <c r="L20" i="10"/>
  <c r="O20" i="10"/>
  <c r="L21" i="10"/>
  <c r="O21" i="10"/>
  <c r="L22" i="10"/>
  <c r="O22" i="10"/>
  <c r="I24" i="10"/>
  <c r="K24" i="10"/>
  <c r="L24" i="10"/>
  <c r="N24" i="10"/>
  <c r="O24" i="10"/>
  <c r="I25" i="10"/>
  <c r="K25" i="10"/>
  <c r="L25" i="10"/>
  <c r="N25" i="10"/>
  <c r="O25" i="10"/>
  <c r="I26" i="10"/>
  <c r="K26" i="10"/>
  <c r="L26" i="10"/>
  <c r="N26" i="10"/>
  <c r="O26" i="10"/>
  <c r="I28" i="10"/>
  <c r="K28" i="10"/>
  <c r="L28" i="10"/>
  <c r="N28" i="10"/>
  <c r="O28" i="10"/>
  <c r="I29" i="10"/>
  <c r="K29" i="10"/>
  <c r="L29" i="10"/>
  <c r="N29" i="10"/>
  <c r="O29" i="10"/>
  <c r="I30" i="10"/>
  <c r="K30" i="10"/>
  <c r="L30" i="10"/>
  <c r="N30" i="10"/>
  <c r="O30" i="10"/>
  <c r="I31" i="10"/>
  <c r="K31" i="10"/>
  <c r="L31" i="10"/>
  <c r="N31" i="10"/>
  <c r="O31" i="10"/>
  <c r="I32" i="10"/>
  <c r="K32" i="10"/>
  <c r="L32" i="10"/>
  <c r="N32" i="10"/>
  <c r="O32" i="10"/>
  <c r="I33" i="10"/>
  <c r="K33" i="10"/>
  <c r="L33" i="10"/>
  <c r="N33" i="10"/>
  <c r="O33" i="10"/>
  <c r="P34" i="10"/>
  <c r="O37" i="10"/>
  <c r="C38" i="10"/>
  <c r="N38" i="10"/>
  <c r="O38" i="10"/>
  <c r="P39" i="10"/>
  <c r="C40" i="10"/>
  <c r="I40" i="10"/>
  <c r="K40" i="10"/>
  <c r="L40" i="10"/>
  <c r="N40" i="10"/>
  <c r="O40" i="10"/>
  <c r="C7" i="16"/>
  <c r="K12" i="16"/>
  <c r="M12" i="16"/>
  <c r="K13" i="16"/>
  <c r="M13" i="16"/>
  <c r="M15" i="16"/>
  <c r="C9" i="7"/>
  <c r="C10" i="7"/>
  <c r="C11" i="7"/>
  <c r="C12" i="7"/>
  <c r="E19" i="7"/>
  <c r="G19" i="7"/>
  <c r="I19" i="7"/>
  <c r="K19" i="7"/>
  <c r="E20" i="7"/>
  <c r="G20" i="7"/>
  <c r="I20" i="7"/>
  <c r="K20" i="7"/>
  <c r="E21" i="7"/>
  <c r="G21" i="7"/>
  <c r="I21" i="7"/>
  <c r="K21" i="7"/>
  <c r="E22" i="7"/>
  <c r="G22" i="7"/>
  <c r="I22" i="7"/>
  <c r="K22" i="7"/>
  <c r="E23" i="7"/>
  <c r="G23" i="7"/>
  <c r="I23" i="7"/>
  <c r="K23" i="7"/>
  <c r="E26" i="7"/>
  <c r="G26" i="7"/>
  <c r="I26" i="7"/>
  <c r="K26" i="7"/>
  <c r="E27" i="7"/>
  <c r="G27" i="7"/>
  <c r="I27" i="7"/>
  <c r="K27" i="7"/>
  <c r="E28" i="7"/>
  <c r="G28" i="7"/>
  <c r="I28" i="7"/>
  <c r="K28" i="7"/>
  <c r="E31" i="7"/>
  <c r="G31" i="7"/>
  <c r="I31" i="7"/>
  <c r="K31" i="7"/>
  <c r="C37" i="7"/>
  <c r="C38" i="7"/>
  <c r="C43" i="7"/>
  <c r="C45" i="7"/>
  <c r="C7" i="17"/>
  <c r="C9" i="17"/>
  <c r="C7" i="15"/>
  <c r="C9" i="15"/>
  <c r="E14" i="15"/>
  <c r="E15" i="15"/>
  <c r="E17" i="15"/>
</calcChain>
</file>

<file path=xl/sharedStrings.xml><?xml version="1.0" encoding="utf-8"?>
<sst xmlns="http://schemas.openxmlformats.org/spreadsheetml/2006/main" count="666" uniqueCount="255">
  <si>
    <t>Investor</t>
  </si>
  <si>
    <t>Shareholder</t>
  </si>
  <si>
    <t>[Name]</t>
  </si>
  <si>
    <t>ESOP</t>
  </si>
  <si>
    <t xml:space="preserve">Peat GmbH </t>
  </si>
  <si>
    <t>Issued</t>
  </si>
  <si>
    <t>Fully Diluted</t>
  </si>
  <si>
    <t>Options</t>
  </si>
  <si>
    <t>Shares</t>
  </si>
  <si>
    <t>Founders</t>
  </si>
  <si>
    <t>Totals</t>
  </si>
  <si>
    <t xml:space="preserve">Common </t>
  </si>
  <si>
    <t xml:space="preserve">Seed Preferred </t>
  </si>
  <si>
    <t>%</t>
  </si>
  <si>
    <t>Fully Diluted Share Capital (prior to Completion)</t>
  </si>
  <si>
    <t>First Completion</t>
  </si>
  <si>
    <t>sub total:</t>
  </si>
  <si>
    <t>Second Completion</t>
  </si>
  <si>
    <t>Post-Completion FDSC</t>
  </si>
  <si>
    <t>Current Unallocated Option Pool (Shares)</t>
  </si>
  <si>
    <t>Top-up of Unallocated Option Pool (Shares)</t>
  </si>
  <si>
    <t>Target Amount</t>
  </si>
  <si>
    <t>Actual Amount</t>
  </si>
  <si>
    <t>Capital Reserves</t>
  </si>
  <si>
    <t>ESOP top-up calculations</t>
  </si>
  <si>
    <t>Common Shares</t>
  </si>
  <si>
    <t>Current Allocated Option Pool (Shares)</t>
  </si>
  <si>
    <t>Nominal Amount</t>
  </si>
  <si>
    <t>Unallocated</t>
  </si>
  <si>
    <t>Discount</t>
  </si>
  <si>
    <t>Discount (%)</t>
  </si>
  <si>
    <t>Valuation Cap</t>
  </si>
  <si>
    <t>Applicable Price</t>
  </si>
  <si>
    <t>Interest Rate (%)</t>
  </si>
  <si>
    <t>Deemed Conversion Date</t>
  </si>
  <si>
    <t>Discount PPS (€)</t>
  </si>
  <si>
    <t>Conversion Price (€)</t>
  </si>
  <si>
    <t>Date of Issue</t>
  </si>
  <si>
    <t>Days outstanding</t>
  </si>
  <si>
    <t>Number of</t>
  </si>
  <si>
    <t>[Holder 1]</t>
  </si>
  <si>
    <t>[Holder 2]</t>
  </si>
  <si>
    <t>[Holder 3]</t>
  </si>
  <si>
    <t>Preferred Shareholders / Investors</t>
  </si>
  <si>
    <t xml:space="preserve">Common Shareholders </t>
  </si>
  <si>
    <t xml:space="preserve">Series A Preferred </t>
  </si>
  <si>
    <t>Series B Preferred</t>
  </si>
  <si>
    <t>[Investor 1]</t>
  </si>
  <si>
    <t>[Investor 2]</t>
  </si>
  <si>
    <t>[Investor 3]</t>
  </si>
  <si>
    <t>[Investor 4]</t>
  </si>
  <si>
    <t>[Investor 5]</t>
  </si>
  <si>
    <t>[Investor 6]</t>
  </si>
  <si>
    <t>Series C Preferred</t>
  </si>
  <si>
    <t>Payment</t>
  </si>
  <si>
    <t>Target Unallocated Option Pool (%age) of FDSC</t>
  </si>
  <si>
    <t xml:space="preserve"> Note: Each Share has a nominal amount of EUR 1.00</t>
  </si>
  <si>
    <r>
      <rPr>
        <b/>
        <sz val="10"/>
        <color rgb="FF0000FF"/>
        <rFont val="Arial"/>
        <family val="2"/>
      </rPr>
      <t xml:space="preserve"> Blue</t>
    </r>
    <r>
      <rPr>
        <sz val="10"/>
        <rFont val="Arial"/>
        <family val="2"/>
      </rPr>
      <t xml:space="preserve"> - constants and hard-coded numbers like historical data and assumptions.</t>
    </r>
  </si>
  <si>
    <r>
      <rPr>
        <b/>
        <sz val="10"/>
        <rFont val="Arial"/>
        <family val="2"/>
      </rPr>
      <t xml:space="preserve"> Black</t>
    </r>
    <r>
      <rPr>
        <sz val="10"/>
        <rFont val="Arial"/>
        <family val="2"/>
      </rPr>
      <t xml:space="preserve"> - formulas linked to other cells within the same worksheet.</t>
    </r>
  </si>
  <si>
    <r>
      <rPr>
        <b/>
        <sz val="10"/>
        <color rgb="FF00B050"/>
        <rFont val="Arial"/>
        <family val="2"/>
      </rPr>
      <t xml:space="preserve"> Green</t>
    </r>
    <r>
      <rPr>
        <sz val="10"/>
        <color theme="1"/>
        <rFont val="Arial"/>
        <family val="2"/>
      </rPr>
      <t xml:space="preserve"> - for formulas with links to other worksheets within the same file.</t>
    </r>
  </si>
  <si>
    <t>Current Option Pool (unallocated + allocated)</t>
  </si>
  <si>
    <t xml:space="preserve">Target Primary Investment (new money) </t>
  </si>
  <si>
    <t xml:space="preserve">Price Per Share </t>
  </si>
  <si>
    <t xml:space="preserve">Nominal Amount Per Share </t>
  </si>
  <si>
    <t xml:space="preserve">Number of shares for capital increase </t>
  </si>
  <si>
    <t>Price Per Preferred Series C Share</t>
  </si>
  <si>
    <t>CLA Holder</t>
  </si>
  <si>
    <t>Principal Amount + Interest</t>
  </si>
  <si>
    <t>Note: insert target completion date (to be agreed)</t>
  </si>
  <si>
    <t xml:space="preserve">Authorized Capital </t>
  </si>
  <si>
    <t>XXX</t>
  </si>
  <si>
    <t>Consider: warrants / instruments with right to convert into real shares / follow-on rounds</t>
  </si>
  <si>
    <t xml:space="preserve">Authorized Capital Expiry Date </t>
  </si>
  <si>
    <t>Warrant Share Price</t>
  </si>
  <si>
    <t>Warrant Holder</t>
  </si>
  <si>
    <t xml:space="preserve">Principal Amount of CLA
</t>
  </si>
  <si>
    <t xml:space="preserve">Warrant Amount
</t>
  </si>
  <si>
    <t>Note: €1 nominal value to be paid for the new Conversion Shares</t>
  </si>
  <si>
    <t>Note: Interest calculation based on 360 days</t>
  </si>
  <si>
    <t xml:space="preserve">Note: Alternative to E16: €1 nominal value can be substracted from the Principal Amount + Interest. Check CLA wording. </t>
  </si>
  <si>
    <t xml:space="preserve"> Note: "Fully Diluted" means including any CLAs, warrants, ESOP etc. </t>
  </si>
  <si>
    <t>Post-money Valuation</t>
  </si>
  <si>
    <t xml:space="preserve">Pre-money Valuation </t>
  </si>
  <si>
    <t>Actual Investment</t>
  </si>
  <si>
    <t>Warrant Discount (%)</t>
  </si>
  <si>
    <t>Seller</t>
  </si>
  <si>
    <t xml:space="preserve">Buyer 
</t>
  </si>
  <si>
    <t xml:space="preserve">Type of Shares </t>
  </si>
  <si>
    <t xml:space="preserve">Number of Shares </t>
  </si>
  <si>
    <t>Price per Share</t>
  </si>
  <si>
    <t>[Founder 1]</t>
  </si>
  <si>
    <t>[Founder 2]</t>
  </si>
  <si>
    <t>[Shareholder 1]</t>
  </si>
  <si>
    <t>[Shareholder 2]</t>
  </si>
  <si>
    <t>[Shareholder 3]</t>
  </si>
  <si>
    <t>[Shareholder 4]</t>
  </si>
  <si>
    <t>Allocated</t>
  </si>
  <si>
    <t>Total ESOP (allocated and unallocated)</t>
  </si>
  <si>
    <t>ESOP Allocated</t>
  </si>
  <si>
    <t xml:space="preserve">ESOP Unallocated </t>
  </si>
  <si>
    <t xml:space="preserve">Target Size of ESOP ( % of FDSC) </t>
  </si>
  <si>
    <t>Strike Price</t>
  </si>
  <si>
    <t xml:space="preserve">Vesting </t>
  </si>
  <si>
    <t>Cliff</t>
  </si>
  <si>
    <t>Vested to date</t>
  </si>
  <si>
    <t xml:space="preserve">Employee 1 </t>
  </si>
  <si>
    <t>Employee 2</t>
  </si>
  <si>
    <t xml:space="preserve">Employee 3 </t>
  </si>
  <si>
    <t>4 years</t>
  </si>
  <si>
    <t>1 year</t>
  </si>
  <si>
    <t>Vesting Start Date</t>
  </si>
  <si>
    <t>Virtual Shares / Options for Common Shares</t>
  </si>
  <si>
    <t xml:space="preserve">Vesting Period starts on: </t>
  </si>
  <si>
    <t>After</t>
  </si>
  <si>
    <t>start of Vesting Period</t>
  </si>
  <si>
    <t>Total:</t>
  </si>
  <si>
    <t>Prior to</t>
  </si>
  <si>
    <t>lapse of Cliff Period</t>
  </si>
  <si>
    <t xml:space="preserve">Serial Numbers: </t>
  </si>
  <si>
    <t>-</t>
  </si>
  <si>
    <t xml:space="preserve"> lapse of Cliff Period</t>
  </si>
  <si>
    <t>1 month after lapse of Cliff Period</t>
  </si>
  <si>
    <t>2 months after lapse of Cliff Period</t>
  </si>
  <si>
    <t>3 months after lapse of Cliff Period</t>
  </si>
  <si>
    <t>Serial Numbers:</t>
  </si>
  <si>
    <t>4 months after lapse of Cliff Period</t>
  </si>
  <si>
    <t>5 months after lapse of Cliff Period</t>
  </si>
  <si>
    <t>6 months after lapse of Cliff Period</t>
  </si>
  <si>
    <t>7 months after lapse of Cliff Period</t>
  </si>
  <si>
    <t>8 months after lapse of Cliff Period</t>
  </si>
  <si>
    <t>9 months after lapse of Cliff Period</t>
  </si>
  <si>
    <t>10 months after lapse of Cliff Period</t>
  </si>
  <si>
    <t>11 months after lapse of Cliff Period</t>
  </si>
  <si>
    <t>12 months after lapse of Cliff Period</t>
  </si>
  <si>
    <t>13 months after lapse of Cliff Period</t>
  </si>
  <si>
    <t>14 months after lapse of Cliff Period</t>
  </si>
  <si>
    <t>15 months after lapse of Cliff Period</t>
  </si>
  <si>
    <t>16 months after lapse of Cliff Period</t>
  </si>
  <si>
    <t>17 months after lapse of Cliff Period</t>
  </si>
  <si>
    <t>18 months after lapse of Cliff Period</t>
  </si>
  <si>
    <t>19 months after lapse of Cliff Period</t>
  </si>
  <si>
    <t>20 months after lapse of Cliff Period</t>
  </si>
  <si>
    <t>21 months after lapse of Cliff Period</t>
  </si>
  <si>
    <t>22 months after lapse of Cliff Period</t>
  </si>
  <si>
    <t>23 months after lapse of Cliff Period</t>
  </si>
  <si>
    <t>24 months after lapse of Cliff Period</t>
  </si>
  <si>
    <t>25 months after lapse of Cliff Period</t>
  </si>
  <si>
    <t>26 months after lapse of Cliff Period</t>
  </si>
  <si>
    <t>27 months after lapse of Cliff Period</t>
  </si>
  <si>
    <t>28 months after lapse of Cliff Period</t>
  </si>
  <si>
    <t>29 months after lapse of Cliff Period</t>
  </si>
  <si>
    <t>30 months after lapse of Cliff Period</t>
  </si>
  <si>
    <t>31 months after lapse of Cliff Period</t>
  </si>
  <si>
    <t>32 months after lapse of Cliff Period</t>
  </si>
  <si>
    <t>33 months after lapse of Cliff Period</t>
  </si>
  <si>
    <t>34 months after lapse of Cliff Period</t>
  </si>
  <si>
    <t>35 months after lapse of Cliff Period</t>
  </si>
  <si>
    <t>36 months after lapse of Cliff Period</t>
  </si>
  <si>
    <t>Section XXX SHA</t>
  </si>
  <si>
    <t>Date of Occurrence of [Good] Leaver Event pursuant to Section [XXX] of the SHA</t>
  </si>
  <si>
    <t>Founder 1</t>
  </si>
  <si>
    <t>Founder 2</t>
  </si>
  <si>
    <t>XX.XX.202X</t>
  </si>
  <si>
    <t>Note: only generic vesting schedule based on 4 years vesting with 1 year cliff</t>
  </si>
  <si>
    <t>XX.XX.XXXX</t>
  </si>
  <si>
    <t>XXXX</t>
  </si>
  <si>
    <t>Aggregate Amount</t>
  </si>
  <si>
    <t>Target Option Pool (Shares)</t>
  </si>
  <si>
    <t>Note: check term sheet - is the target option pool only for unallocated portion or whole?</t>
  </si>
  <si>
    <t xml:space="preserve">Interest </t>
  </si>
  <si>
    <t>Valuation Cap - FDSC</t>
  </si>
  <si>
    <t>Valuation Cap - Price</t>
  </si>
  <si>
    <t>Note: Check if the option pool increase is made prior (then add to FDSC) or after the new round (do not add to FDSC)</t>
  </si>
  <si>
    <t xml:space="preserve">Nominal Amount Payment </t>
  </si>
  <si>
    <t>Number of Series C Preferred Shares (Principal + Interest)</t>
  </si>
  <si>
    <t>Note: Days calculated based on 360 days</t>
  </si>
  <si>
    <t>Note: Check if CLA converts into the most senior class of shares</t>
  </si>
  <si>
    <t>Total CLA Investment</t>
  </si>
  <si>
    <t xml:space="preserve">Reverse Vesting </t>
  </si>
  <si>
    <t>Percentage of Shares under Reverse Vesting</t>
  </si>
  <si>
    <t xml:space="preserve">VESOP Beneficiary </t>
  </si>
  <si>
    <t>Down Round Price Per Share</t>
  </si>
  <si>
    <t>Down Round Target Investment</t>
  </si>
  <si>
    <t>Number of Down Round Shares</t>
  </si>
  <si>
    <t xml:space="preserve">New Round - Down Round </t>
  </si>
  <si>
    <t>Down Round Actual Investment</t>
  </si>
  <si>
    <t>Series D Preferred</t>
  </si>
  <si>
    <t>Common Shares Options</t>
  </si>
  <si>
    <t>Seed Preferred Shares</t>
  </si>
  <si>
    <t>Series A Preferred Shares</t>
  </si>
  <si>
    <t>Series B Preferred Shares</t>
  </si>
  <si>
    <t xml:space="preserve">Series C Preferred Shares </t>
  </si>
  <si>
    <t>Series C Preferred Shares (Warrants)</t>
  </si>
  <si>
    <t>Series C Preferred Shares (CLA)</t>
  </si>
  <si>
    <t>No of Shares</t>
  </si>
  <si>
    <t xml:space="preserve">Down Round Valuation </t>
  </si>
  <si>
    <t>Dilution Protection Shares Issued For:</t>
  </si>
  <si>
    <t xml:space="preserve">Total Investment </t>
  </si>
  <si>
    <t>Valuation 1</t>
  </si>
  <si>
    <t>Valuation 2</t>
  </si>
  <si>
    <t>Valuation 3</t>
  </si>
  <si>
    <t>Valuation 4</t>
  </si>
  <si>
    <t>N =</t>
  </si>
  <si>
    <t xml:space="preserve">This cap table assumes the following: </t>
  </si>
  <si>
    <t>Issued at Seed Round</t>
  </si>
  <si>
    <t>Issued at Series A Round</t>
  </si>
  <si>
    <t>Issued at Series B Round</t>
  </si>
  <si>
    <t xml:space="preserve">The company has the following share classes: </t>
  </si>
  <si>
    <r>
      <t xml:space="preserve">The company intends to do a Series C Round at which it will 1) issue new Series C Preferred Shares and 2) convert its Convertible Loans and Warrants into Series C Preferred Shares, </t>
    </r>
    <r>
      <rPr>
        <b/>
        <sz val="10"/>
        <color theme="1"/>
        <rFont val="Arial"/>
        <family val="2"/>
      </rPr>
      <t>Tab: Subscriptions -Series C, CLA Conversion and Warrant</t>
    </r>
    <r>
      <rPr>
        <sz val="10"/>
        <color theme="1"/>
        <rFont val="Arial"/>
        <family val="2"/>
      </rPr>
      <t xml:space="preserve">. </t>
    </r>
  </si>
  <si>
    <r>
      <rPr>
        <b/>
        <sz val="10"/>
        <color theme="1"/>
        <rFont val="Arial"/>
        <family val="2"/>
      </rPr>
      <t>Tab: VESOP + Reverse Vesting</t>
    </r>
    <r>
      <rPr>
        <sz val="10"/>
        <color theme="1"/>
        <rFont val="Arial"/>
        <family val="2"/>
      </rPr>
      <t xml:space="preserve"> is meant to be used on an ongoing basis to track employees option grants and founders reverse vesting. </t>
    </r>
  </si>
  <si>
    <t xml:space="preserve">This cap table serves as an example-only pro-forma cap table. </t>
  </si>
  <si>
    <t xml:space="preserve">All information included is created solely for the purposes of this cap table. </t>
  </si>
  <si>
    <r>
      <t xml:space="preserve">The founders will do a secondary transaction as part of the Series C Round, </t>
    </r>
    <r>
      <rPr>
        <b/>
        <sz val="10"/>
        <color theme="1"/>
        <rFont val="Arial"/>
        <family val="2"/>
      </rPr>
      <t>Tab: Secondary</t>
    </r>
    <r>
      <rPr>
        <sz val="10"/>
        <color theme="1"/>
        <rFont val="Arial"/>
        <family val="2"/>
      </rPr>
      <t xml:space="preserve">. </t>
    </r>
  </si>
  <si>
    <r>
      <t xml:space="preserve">Post completion of Series C Round, the Company will plan a down round at which it will issue Dilution Protection Shares, </t>
    </r>
    <r>
      <rPr>
        <b/>
        <sz val="10"/>
        <color theme="1"/>
        <rFont val="Arial"/>
        <family val="2"/>
      </rPr>
      <t>Tab: Anti-Dilution</t>
    </r>
    <r>
      <rPr>
        <sz val="10"/>
        <color theme="1"/>
        <rFont val="Arial"/>
        <family val="2"/>
      </rPr>
      <t xml:space="preserve">. </t>
    </r>
  </si>
  <si>
    <t xml:space="preserve">Share Price </t>
  </si>
  <si>
    <t xml:space="preserve">For Seed Shareholders </t>
  </si>
  <si>
    <t>Decrease in Share Price in % vs Series C</t>
  </si>
  <si>
    <t>For Series A Shareholders</t>
  </si>
  <si>
    <t>For Series B Shareholders</t>
  </si>
  <si>
    <t>For Series C Shareholders</t>
  </si>
  <si>
    <t>Dilution Protection Shares</t>
  </si>
  <si>
    <t>Simplified Cap Table by Share Class</t>
  </si>
  <si>
    <t>Anti-dilution formula (broad-based):</t>
  </si>
  <si>
    <t xml:space="preserve">   Note: make sure the issuance of dilution protection shares does not trigger an "internal down round" again.Commercial agreement on the FDSC used for calculation purposes. </t>
  </si>
  <si>
    <t xml:space="preserve">   Note: Check the type of anti-dilution (broad or narrow based or full ratchet). Assumption here: broad based weighted average.</t>
  </si>
  <si>
    <t xml:space="preserve">   Note: Check the ISHA / SHA who benefits from the anti-dilution protection. Assumption here: all Holders of Preferred Shares. </t>
  </si>
  <si>
    <t xml:space="preserve">   Note: variable number</t>
  </si>
  <si>
    <t>[Down Round Investor]</t>
  </si>
  <si>
    <t>Pro-Forma Cap Table after Down Round based on Valuation 4</t>
  </si>
  <si>
    <t>Dilution Protection Shares Calculations for Valuation 4 - split per Shareholder</t>
  </si>
  <si>
    <t>(K1n x P1) + (K2n x P2)</t>
  </si>
  <si>
    <t>(K1n + K2n)</t>
  </si>
  <si>
    <t xml:space="preserve">K1n </t>
  </si>
  <si>
    <t xml:space="preserve">P1 </t>
  </si>
  <si>
    <t xml:space="preserve">K2n </t>
  </si>
  <si>
    <t xml:space="preserve">P2 </t>
  </si>
  <si>
    <t>Price per Preferred Share e.g. Series Seed / A / B / C Preferred Price</t>
  </si>
  <si>
    <t>Number of all shares : FDSC prior to the Down Round (except any shares held by the Company itself) and Number of Down Round Shares</t>
  </si>
  <si>
    <t>Number of new Down Round Shares issued to Down Round Investor</t>
  </si>
  <si>
    <t>Price per new Down Round Share</t>
  </si>
  <si>
    <t>WASP</t>
  </si>
  <si>
    <t>Weighted Average Share Price</t>
  </si>
  <si>
    <t>Nominal value per Dilution Protection Share e.g. €1</t>
  </si>
  <si>
    <t xml:space="preserve">K3n </t>
  </si>
  <si>
    <t xml:space="preserve">WASP = </t>
  </si>
  <si>
    <t xml:space="preserve">nv </t>
  </si>
  <si>
    <t>N</t>
  </si>
  <si>
    <t xml:space="preserve"> (Approximate) N</t>
  </si>
  <si>
    <t>Dilution Protection Shares Calculations for Valuation 4  Approximate Calculations per Class of Shares</t>
  </si>
  <si>
    <t>Number of Dilution Protection Shares issued to the respective Holder of Preferred Seed / A / B / C Shares</t>
  </si>
  <si>
    <t>Number of Preferred Seed / A / B / C Shares subscribed by the respective Holder of Preferred Seed / A / B / C Shares</t>
  </si>
  <si>
    <r>
      <rPr>
        <i/>
        <u/>
        <sz val="10"/>
        <color theme="1"/>
        <rFont val="Arial"/>
        <family val="2"/>
      </rPr>
      <t>K3n x (P1 - WASP)</t>
    </r>
    <r>
      <rPr>
        <i/>
        <sz val="10"/>
        <color theme="1"/>
        <rFont val="Arial"/>
        <family val="2"/>
      </rPr>
      <t xml:space="preserve"> </t>
    </r>
  </si>
  <si>
    <t>(WASP - nv)</t>
  </si>
  <si>
    <t>Typically Secondary Shares will be reclassified into the most senior class of shares if the lates share price is paid</t>
  </si>
  <si>
    <t>Reclassified 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</si>
</sst>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3" formatCode="_(* #,##0.00_);_(* \(#,##0.00\);_(* &quot;-&quot;??_);_(@_)"/>
    <numFmt numFmtId="164" formatCode="&quot;£&quot;#,##0.0000"/>
    <numFmt numFmtId="165" formatCode="&quot;£&quot;#,##0"/>
    <numFmt numFmtId="166" formatCode="dd/mm/yyyy;@"/>
    <numFmt numFmtId="167" formatCode="#,##0.00\ &quot;€&quot;"/>
    <numFmt numFmtId="168" formatCode="_-* #,##0_-;\-* #,##0_-;_-* &quot;-&quot;??_-;_-@_-"/>
    <numFmt numFmtId="169" formatCode="[$-809]dd\ mmmm\ yyyy;@"/>
    <numFmt numFmtId="170" formatCode="_-* #,##0.00\ [$€-407]_-;\-* #,##0.00\ [$€-407]_-;_-* &quot;-&quot;??\ [$€-407]_-;_-@_-"/>
    <numFmt numFmtId="171" formatCode="_(* #,##0_);_(* \(#,##0\);_(* &quot;-&quot;??_);_(@_)"/>
    <numFmt numFmtId="172" formatCode="_-* #,##0.0000_-;\-* #,##0.0000_-;_-* &quot;-&quot;??_-;_-@_-"/>
  </numFmts>
  <fonts count="4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Helvetica Neue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3145"/>
      <name val="Arial"/>
      <family val="2"/>
    </font>
    <font>
      <b/>
      <sz val="10"/>
      <color rgb="FF003145"/>
      <name val="Arial"/>
      <family val="2"/>
    </font>
    <font>
      <b/>
      <sz val="20"/>
      <color theme="0"/>
      <name val="Arial"/>
      <family val="2"/>
    </font>
    <font>
      <b/>
      <i/>
      <sz val="10"/>
      <name val="Arial"/>
      <family val="2"/>
    </font>
    <font>
      <b/>
      <sz val="10"/>
      <color rgb="FFF5F5F5"/>
      <name val="Arial"/>
      <family val="2"/>
    </font>
    <font>
      <b/>
      <sz val="10"/>
      <color rgb="FFFF0000"/>
      <name val="Arial"/>
      <family val="2"/>
    </font>
    <font>
      <b/>
      <i/>
      <u/>
      <sz val="10"/>
      <color theme="3" tint="-0.249977111117893"/>
      <name val="Arial"/>
      <family val="2"/>
    </font>
    <font>
      <b/>
      <i/>
      <u/>
      <sz val="10"/>
      <name val="Arial"/>
      <family val="2"/>
    </font>
    <font>
      <i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rgb="FF0000FF"/>
      <name val="Arial"/>
      <family val="2"/>
    </font>
    <font>
      <b/>
      <sz val="10"/>
      <color rgb="FF00B050"/>
      <name val="Arial"/>
      <family val="2"/>
    </font>
    <font>
      <i/>
      <sz val="10"/>
      <color theme="0" tint="-0.499984740745262"/>
      <name val="Arial"/>
      <family val="2"/>
    </font>
    <font>
      <i/>
      <sz val="10"/>
      <color theme="1"/>
      <name val="Arial"/>
      <family val="2"/>
    </font>
    <font>
      <i/>
      <sz val="10"/>
      <color theme="2" tint="-0.499984740745262"/>
      <name val="Arial"/>
      <family val="2"/>
    </font>
    <font>
      <b/>
      <sz val="10"/>
      <color rgb="FFFB5A17"/>
      <name val="Arial"/>
      <family val="2"/>
    </font>
    <font>
      <i/>
      <u/>
      <sz val="10"/>
      <color theme="0" tint="-0.499984740745262"/>
      <name val="Arial"/>
      <family val="2"/>
    </font>
    <font>
      <sz val="11"/>
      <color theme="1"/>
      <name val="Arial"/>
      <family val="2"/>
    </font>
    <font>
      <b/>
      <sz val="18"/>
      <color theme="0"/>
      <name val="Arial"/>
      <family val="2"/>
    </font>
    <font>
      <b/>
      <i/>
      <sz val="10"/>
      <color theme="0"/>
      <name val="Arial"/>
      <family val="2"/>
    </font>
    <font>
      <i/>
      <u/>
      <sz val="10"/>
      <color theme="1"/>
      <name val="Arial"/>
      <family val="2"/>
    </font>
    <font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14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 applyNumberFormat="0" applyFill="0" applyBorder="0" applyProtection="0">
      <alignment vertical="top"/>
    </xf>
    <xf numFmtId="9" fontId="15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289">
    <xf numFmtId="0" fontId="0" fillId="0" borderId="0" xfId="0"/>
    <xf numFmtId="0" fontId="17" fillId="0" borderId="0" xfId="2" applyFont="1" applyFill="1" applyBorder="1" applyAlignment="1"/>
    <xf numFmtId="0" fontId="17" fillId="0" borderId="0" xfId="2" applyNumberFormat="1" applyFont="1" applyFill="1" applyBorder="1" applyAlignment="1"/>
    <xf numFmtId="0" fontId="18" fillId="0" borderId="0" xfId="0" applyFont="1"/>
    <xf numFmtId="0" fontId="17" fillId="0" borderId="0" xfId="2" applyFont="1" applyFill="1" applyAlignment="1"/>
    <xf numFmtId="3" fontId="17" fillId="0" borderId="0" xfId="2" applyNumberFormat="1" applyFont="1" applyFill="1" applyAlignment="1">
      <alignment horizontal="right"/>
    </xf>
    <xf numFmtId="10" fontId="17" fillId="0" borderId="0" xfId="1" applyNumberFormat="1" applyFont="1" applyFill="1" applyAlignment="1">
      <alignment horizontal="right"/>
    </xf>
    <xf numFmtId="3" fontId="19" fillId="0" borderId="0" xfId="2" applyNumberFormat="1" applyFont="1" applyFill="1" applyBorder="1" applyAlignment="1">
      <alignment horizontal="center"/>
    </xf>
    <xf numFmtId="0" fontId="16" fillId="0" borderId="1" xfId="2" applyFont="1" applyFill="1" applyBorder="1" applyAlignment="1"/>
    <xf numFmtId="10" fontId="16" fillId="0" borderId="1" xfId="3" applyNumberFormat="1" applyFont="1" applyFill="1" applyBorder="1" applyAlignment="1">
      <alignment horizontal="right"/>
    </xf>
    <xf numFmtId="3" fontId="16" fillId="0" borderId="0" xfId="2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16" fillId="0" borderId="0" xfId="2" applyFont="1" applyFill="1" applyBorder="1" applyAlignment="1"/>
    <xf numFmtId="0" fontId="21" fillId="0" borderId="0" xfId="0" applyFont="1" applyAlignment="1">
      <alignment vertical="center"/>
    </xf>
    <xf numFmtId="0" fontId="16" fillId="0" borderId="0" xfId="2" applyFont="1" applyFill="1" applyAlignment="1"/>
    <xf numFmtId="0" fontId="22" fillId="0" borderId="0" xfId="0" applyFont="1"/>
    <xf numFmtId="0" fontId="26" fillId="3" borderId="0" xfId="0" applyFont="1" applyFill="1"/>
    <xf numFmtId="0" fontId="27" fillId="3" borderId="0" xfId="0" applyFont="1" applyFill="1"/>
    <xf numFmtId="0" fontId="18" fillId="3" borderId="0" xfId="0" applyFont="1" applyFill="1"/>
    <xf numFmtId="0" fontId="25" fillId="2" borderId="0" xfId="0" applyFont="1" applyFill="1"/>
    <xf numFmtId="3" fontId="18" fillId="0" borderId="0" xfId="0" applyNumberFormat="1" applyFont="1"/>
    <xf numFmtId="0" fontId="23" fillId="3" borderId="0" xfId="0" applyFont="1" applyFill="1" applyAlignment="1">
      <alignment horizontal="center" vertical="center"/>
    </xf>
    <xf numFmtId="0" fontId="29" fillId="0" borderId="0" xfId="0" applyFont="1" applyAlignment="1">
      <alignment vertical="center"/>
    </xf>
    <xf numFmtId="10" fontId="16" fillId="0" borderId="0" xfId="3" applyNumberFormat="1" applyFont="1" applyFill="1" applyBorder="1" applyAlignment="1">
      <alignment horizontal="right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" fontId="17" fillId="0" borderId="0" xfId="2" applyNumberFormat="1" applyFont="1" applyFill="1" applyAlignment="1">
      <alignment horizontal="right"/>
    </xf>
    <xf numFmtId="1" fontId="18" fillId="0" borderId="0" xfId="0" applyNumberFormat="1" applyFont="1"/>
    <xf numFmtId="1" fontId="17" fillId="0" borderId="0" xfId="1" applyNumberFormat="1" applyFont="1" applyFill="1" applyAlignment="1">
      <alignment horizontal="right"/>
    </xf>
    <xf numFmtId="10" fontId="18" fillId="0" borderId="0" xfId="1" applyNumberFormat="1" applyFont="1" applyFill="1"/>
    <xf numFmtId="4" fontId="18" fillId="0" borderId="0" xfId="0" applyNumberFormat="1" applyFont="1"/>
    <xf numFmtId="3" fontId="17" fillId="0" borderId="0" xfId="1" applyNumberFormat="1" applyFont="1" applyFill="1" applyAlignment="1">
      <alignment horizontal="right"/>
    </xf>
    <xf numFmtId="3" fontId="16" fillId="0" borderId="1" xfId="3" applyNumberFormat="1" applyFont="1" applyFill="1" applyBorder="1" applyAlignment="1">
      <alignment horizontal="right"/>
    </xf>
    <xf numFmtId="0" fontId="17" fillId="0" borderId="0" xfId="0" applyFont="1" applyAlignment="1">
      <alignment vertical="center"/>
    </xf>
    <xf numFmtId="0" fontId="29" fillId="0" borderId="0" xfId="0" applyFont="1" applyAlignment="1">
      <alignment horizontal="right" vertical="center" indent="1"/>
    </xf>
    <xf numFmtId="0" fontId="31" fillId="2" borderId="0" xfId="0" applyFont="1" applyFill="1"/>
    <xf numFmtId="0" fontId="30" fillId="3" borderId="0" xfId="0" applyFont="1" applyFill="1" applyAlignment="1">
      <alignment horizontal="center" vertical="center"/>
    </xf>
    <xf numFmtId="3" fontId="22" fillId="0" borderId="0" xfId="0" applyNumberFormat="1" applyFont="1"/>
    <xf numFmtId="4" fontId="22" fillId="0" borderId="0" xfId="0" applyNumberFormat="1" applyFont="1"/>
    <xf numFmtId="0" fontId="23" fillId="0" borderId="0" xfId="0" applyFont="1" applyAlignment="1">
      <alignment vertical="center"/>
    </xf>
    <xf numFmtId="0" fontId="31" fillId="0" borderId="0" xfId="0" applyFont="1"/>
    <xf numFmtId="0" fontId="17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0" fontId="18" fillId="0" borderId="3" xfId="0" applyFont="1" applyBorder="1"/>
    <xf numFmtId="0" fontId="18" fillId="0" borderId="4" xfId="0" applyFont="1" applyBorder="1"/>
    <xf numFmtId="3" fontId="18" fillId="0" borderId="4" xfId="0" applyNumberFormat="1" applyFont="1" applyBorder="1"/>
    <xf numFmtId="0" fontId="18" fillId="0" borderId="5" xfId="0" applyFont="1" applyBorder="1"/>
    <xf numFmtId="14" fontId="18" fillId="0" borderId="0" xfId="0" applyNumberFormat="1" applyFont="1"/>
    <xf numFmtId="9" fontId="18" fillId="0" borderId="0" xfId="1" applyFont="1" applyFill="1" applyAlignment="1"/>
    <xf numFmtId="0" fontId="23" fillId="2" borderId="0" xfId="0" applyFont="1" applyFill="1"/>
    <xf numFmtId="0" fontId="0" fillId="2" borderId="0" xfId="0" applyFill="1"/>
    <xf numFmtId="0" fontId="23" fillId="3" borderId="0" xfId="0" applyFont="1" applyFill="1" applyAlignment="1">
      <alignment horizontal="center" vertical="center" wrapText="1"/>
    </xf>
    <xf numFmtId="3" fontId="0" fillId="0" borderId="0" xfId="0" applyNumberFormat="1" applyAlignment="1">
      <alignment horizontal="right" indent="3"/>
    </xf>
    <xf numFmtId="165" fontId="17" fillId="0" borderId="0" xfId="0" applyNumberFormat="1" applyFont="1" applyAlignment="1">
      <alignment horizontal="right" indent="3"/>
    </xf>
    <xf numFmtId="3" fontId="34" fillId="0" borderId="0" xfId="0" applyNumberFormat="1" applyFont="1" applyAlignment="1">
      <alignment horizontal="left" indent="3"/>
    </xf>
    <xf numFmtId="3" fontId="17" fillId="0" borderId="0" xfId="0" applyNumberFormat="1" applyFont="1" applyAlignment="1">
      <alignment horizontal="right" indent="3"/>
    </xf>
    <xf numFmtId="164" fontId="17" fillId="0" borderId="0" xfId="0" applyNumberFormat="1" applyFont="1" applyAlignment="1">
      <alignment horizontal="right" indent="3"/>
    </xf>
    <xf numFmtId="3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4" fontId="22" fillId="0" borderId="0" xfId="0" applyNumberFormat="1" applyFont="1" applyAlignment="1">
      <alignment horizontal="right"/>
    </xf>
    <xf numFmtId="0" fontId="18" fillId="0" borderId="0" xfId="0" applyFont="1" applyAlignment="1">
      <alignment horizontal="left" vertical="center" indent="1"/>
    </xf>
    <xf numFmtId="0" fontId="22" fillId="0" borderId="5" xfId="0" applyFont="1" applyBorder="1"/>
    <xf numFmtId="4" fontId="18" fillId="0" borderId="5" xfId="0" applyNumberFormat="1" applyFont="1" applyBorder="1"/>
    <xf numFmtId="167" fontId="18" fillId="0" borderId="0" xfId="0" applyNumberFormat="1" applyFont="1"/>
    <xf numFmtId="3" fontId="24" fillId="0" borderId="0" xfId="0" applyNumberFormat="1" applyFont="1"/>
    <xf numFmtId="167" fontId="35" fillId="0" borderId="0" xfId="2" applyNumberFormat="1" applyFont="1" applyFill="1" applyAlignment="1"/>
    <xf numFmtId="0" fontId="13" fillId="0" borderId="3" xfId="0" applyFont="1" applyBorder="1"/>
    <xf numFmtId="0" fontId="13" fillId="0" borderId="0" xfId="0" applyFont="1"/>
    <xf numFmtId="9" fontId="17" fillId="0" borderId="4" xfId="1" applyFont="1" applyFill="1" applyBorder="1"/>
    <xf numFmtId="0" fontId="16" fillId="0" borderId="1" xfId="0" applyFont="1" applyBorder="1"/>
    <xf numFmtId="3" fontId="16" fillId="0" borderId="1" xfId="0" applyNumberFormat="1" applyFont="1" applyBorder="1"/>
    <xf numFmtId="10" fontId="38" fillId="0" borderId="0" xfId="0" applyNumberFormat="1" applyFont="1"/>
    <xf numFmtId="0" fontId="12" fillId="0" borderId="3" xfId="0" applyFont="1" applyBorder="1"/>
    <xf numFmtId="0" fontId="12" fillId="0" borderId="0" xfId="0" applyFont="1"/>
    <xf numFmtId="167" fontId="16" fillId="0" borderId="1" xfId="0" applyNumberFormat="1" applyFont="1" applyBorder="1"/>
    <xf numFmtId="0" fontId="18" fillId="0" borderId="8" xfId="0" applyFont="1" applyBorder="1"/>
    <xf numFmtId="0" fontId="16" fillId="0" borderId="7" xfId="0" applyFont="1" applyBorder="1" applyAlignment="1">
      <alignment vertical="center"/>
    </xf>
    <xf numFmtId="3" fontId="22" fillId="0" borderId="9" xfId="0" applyNumberFormat="1" applyFont="1" applyBorder="1"/>
    <xf numFmtId="0" fontId="23" fillId="3" borderId="6" xfId="0" applyFont="1" applyFill="1" applyBorder="1" applyAlignment="1">
      <alignment vertical="center"/>
    </xf>
    <xf numFmtId="0" fontId="18" fillId="0" borderId="1" xfId="0" applyFont="1" applyBorder="1"/>
    <xf numFmtId="0" fontId="23" fillId="3" borderId="10" xfId="0" applyFont="1" applyFill="1" applyBorder="1" applyAlignment="1">
      <alignment vertical="center"/>
    </xf>
    <xf numFmtId="0" fontId="23" fillId="3" borderId="11" xfId="0" applyFont="1" applyFill="1" applyBorder="1" applyAlignment="1">
      <alignment vertical="center"/>
    </xf>
    <xf numFmtId="0" fontId="22" fillId="0" borderId="12" xfId="0" applyFont="1" applyBorder="1"/>
    <xf numFmtId="3" fontId="22" fillId="0" borderId="13" xfId="0" applyNumberFormat="1" applyFont="1" applyBorder="1"/>
    <xf numFmtId="4" fontId="16" fillId="0" borderId="1" xfId="0" applyNumberFormat="1" applyFont="1" applyBorder="1"/>
    <xf numFmtId="3" fontId="16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right" vertical="center"/>
    </xf>
    <xf numFmtId="0" fontId="11" fillId="0" borderId="0" xfId="0" applyFont="1"/>
    <xf numFmtId="0" fontId="39" fillId="0" borderId="0" xfId="0" applyFont="1"/>
    <xf numFmtId="167" fontId="18" fillId="0" borderId="0" xfId="1" applyNumberFormat="1" applyFont="1" applyFill="1" applyAlignment="1"/>
    <xf numFmtId="3" fontId="11" fillId="0" borderId="0" xfId="0" applyNumberFormat="1" applyFont="1"/>
    <xf numFmtId="0" fontId="33" fillId="0" borderId="0" xfId="2" applyFont="1" applyFill="1" applyBorder="1" applyAlignment="1"/>
    <xf numFmtId="3" fontId="16" fillId="0" borderId="0" xfId="2" applyNumberFormat="1" applyFont="1" applyFill="1" applyBorder="1" applyAlignment="1"/>
    <xf numFmtId="3" fontId="22" fillId="4" borderId="9" xfId="0" applyNumberFormat="1" applyFont="1" applyFill="1" applyBorder="1" applyAlignment="1">
      <alignment horizontal="right"/>
    </xf>
    <xf numFmtId="0" fontId="38" fillId="0" borderId="0" xfId="0" applyFont="1"/>
    <xf numFmtId="0" fontId="40" fillId="0" borderId="0" xfId="0" applyFont="1"/>
    <xf numFmtId="0" fontId="40" fillId="0" borderId="0" xfId="0" applyFont="1" applyAlignment="1">
      <alignment wrapText="1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" fontId="22" fillId="0" borderId="0" xfId="0" applyNumberFormat="1" applyFont="1" applyAlignment="1">
      <alignment horizontal="right"/>
    </xf>
    <xf numFmtId="9" fontId="18" fillId="0" borderId="0" xfId="1" applyFont="1"/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168" fontId="18" fillId="0" borderId="0" xfId="4" applyNumberFormat="1" applyFont="1"/>
    <xf numFmtId="168" fontId="16" fillId="0" borderId="1" xfId="4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2" fillId="0" borderId="20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14" fontId="22" fillId="4" borderId="18" xfId="0" applyNumberFormat="1" applyFont="1" applyFill="1" applyBorder="1" applyAlignment="1">
      <alignment horizontal="center" vertical="center"/>
    </xf>
    <xf numFmtId="10" fontId="42" fillId="0" borderId="0" xfId="0" applyNumberFormat="1" applyFont="1"/>
    <xf numFmtId="14" fontId="11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1" fillId="3" borderId="0" xfId="0" applyFont="1" applyFill="1"/>
    <xf numFmtId="0" fontId="43" fillId="0" borderId="0" xfId="0" applyFont="1" applyAlignment="1">
      <alignment horizontal="right"/>
    </xf>
    <xf numFmtId="0" fontId="43" fillId="0" borderId="0" xfId="0" applyFont="1" applyAlignment="1">
      <alignment horizontal="left"/>
    </xf>
    <xf numFmtId="0" fontId="43" fillId="0" borderId="0" xfId="0" applyFont="1"/>
    <xf numFmtId="0" fontId="43" fillId="0" borderId="0" xfId="0" applyFont="1" applyAlignment="1">
      <alignment horizontal="center"/>
    </xf>
    <xf numFmtId="0" fontId="43" fillId="0" borderId="16" xfId="0" applyFont="1" applyBorder="1" applyAlignment="1">
      <alignment horizontal="right" vertical="top"/>
    </xf>
    <xf numFmtId="41" fontId="43" fillId="0" borderId="16" xfId="0" applyNumberFormat="1" applyFont="1" applyBorder="1" applyAlignment="1">
      <alignment vertical="top"/>
    </xf>
    <xf numFmtId="41" fontId="43" fillId="0" borderId="17" xfId="0" applyNumberFormat="1" applyFont="1" applyBorder="1" applyAlignment="1">
      <alignment horizontal="left" vertical="top"/>
    </xf>
    <xf numFmtId="41" fontId="43" fillId="0" borderId="5" xfId="0" applyNumberFormat="1" applyFont="1" applyBorder="1" applyAlignment="1">
      <alignment horizontal="center" vertical="top"/>
    </xf>
    <xf numFmtId="169" fontId="43" fillId="0" borderId="17" xfId="0" applyNumberFormat="1" applyFont="1" applyBorder="1" applyAlignment="1">
      <alignment horizontal="left" vertical="top"/>
    </xf>
    <xf numFmtId="0" fontId="11" fillId="0" borderId="3" xfId="0" applyFont="1" applyBorder="1"/>
    <xf numFmtId="0" fontId="40" fillId="0" borderId="0" xfId="0" applyFont="1" applyAlignment="1">
      <alignment horizontal="left" vertical="center" wrapText="1"/>
    </xf>
    <xf numFmtId="167" fontId="17" fillId="0" borderId="0" xfId="0" applyNumberFormat="1" applyFont="1" applyAlignment="1">
      <alignment horizontal="right" vertical="center"/>
    </xf>
    <xf numFmtId="167" fontId="17" fillId="0" borderId="0" xfId="0" applyNumberFormat="1" applyFont="1"/>
    <xf numFmtId="0" fontId="10" fillId="0" borderId="0" xfId="0" applyFont="1"/>
    <xf numFmtId="0" fontId="10" fillId="0" borderId="14" xfId="0" applyFont="1" applyBorder="1" applyAlignment="1">
      <alignment horizontal="right"/>
    </xf>
    <xf numFmtId="169" fontId="10" fillId="0" borderId="15" xfId="0" applyNumberFormat="1" applyFont="1" applyBorder="1" applyAlignment="1">
      <alignment horizontal="left"/>
    </xf>
    <xf numFmtId="41" fontId="10" fillId="0" borderId="14" xfId="4" applyNumberFormat="1" applyFont="1" applyFill="1" applyBorder="1" applyAlignment="1"/>
    <xf numFmtId="41" fontId="10" fillId="0" borderId="21" xfId="4" applyNumberFormat="1" applyFont="1" applyFill="1" applyBorder="1" applyAlignment="1">
      <alignment horizontal="center"/>
    </xf>
    <xf numFmtId="3" fontId="10" fillId="0" borderId="15" xfId="0" applyNumberFormat="1" applyFont="1" applyBorder="1"/>
    <xf numFmtId="0" fontId="10" fillId="0" borderId="3" xfId="0" applyFont="1" applyBorder="1" applyAlignment="1">
      <alignment horizontal="right"/>
    </xf>
    <xf numFmtId="169" fontId="10" fillId="0" borderId="4" xfId="0" applyNumberFormat="1" applyFont="1" applyBorder="1" applyAlignment="1">
      <alignment horizontal="left"/>
    </xf>
    <xf numFmtId="41" fontId="10" fillId="0" borderId="3" xfId="4" applyNumberFormat="1" applyFont="1" applyFill="1" applyBorder="1"/>
    <xf numFmtId="41" fontId="10" fillId="0" borderId="0" xfId="4" applyNumberFormat="1" applyFont="1" applyFill="1" applyBorder="1" applyAlignment="1">
      <alignment horizontal="center"/>
    </xf>
    <xf numFmtId="41" fontId="10" fillId="0" borderId="4" xfId="4" applyNumberFormat="1" applyFont="1" applyFill="1" applyBorder="1" applyAlignment="1">
      <alignment horizontal="left"/>
    </xf>
    <xf numFmtId="0" fontId="10" fillId="0" borderId="16" xfId="0" applyFont="1" applyBorder="1" applyAlignment="1">
      <alignment horizontal="right" vertical="top"/>
    </xf>
    <xf numFmtId="0" fontId="10" fillId="0" borderId="17" xfId="0" applyFont="1" applyBorder="1" applyAlignment="1">
      <alignment horizontal="left" vertical="top"/>
    </xf>
    <xf numFmtId="41" fontId="10" fillId="0" borderId="16" xfId="4" applyNumberFormat="1" applyFont="1" applyFill="1" applyBorder="1" applyAlignment="1">
      <alignment horizontal="left" vertical="top"/>
    </xf>
    <xf numFmtId="41" fontId="10" fillId="0" borderId="5" xfId="4" applyNumberFormat="1" applyFont="1" applyFill="1" applyBorder="1" applyAlignment="1">
      <alignment horizontal="center" vertical="top"/>
    </xf>
    <xf numFmtId="41" fontId="10" fillId="0" borderId="17" xfId="4" applyNumberFormat="1" applyFont="1" applyFill="1" applyBorder="1" applyAlignment="1">
      <alignment horizontal="left" vertical="top"/>
    </xf>
    <xf numFmtId="41" fontId="10" fillId="0" borderId="14" xfId="4" applyNumberFormat="1" applyFont="1" applyFill="1" applyBorder="1"/>
    <xf numFmtId="41" fontId="10" fillId="0" borderId="15" xfId="4" applyNumberFormat="1" applyFont="1" applyFill="1" applyBorder="1"/>
    <xf numFmtId="41" fontId="10" fillId="0" borderId="16" xfId="4" applyNumberFormat="1" applyFont="1" applyBorder="1" applyAlignment="1">
      <alignment vertical="top"/>
    </xf>
    <xf numFmtId="41" fontId="10" fillId="0" borderId="5" xfId="4" applyNumberFormat="1" applyFont="1" applyBorder="1" applyAlignment="1">
      <alignment horizontal="center" vertical="top"/>
    </xf>
    <xf numFmtId="41" fontId="10" fillId="0" borderId="17" xfId="4" applyNumberFormat="1" applyFont="1" applyBorder="1" applyAlignment="1">
      <alignment horizontal="left" vertical="top"/>
    </xf>
    <xf numFmtId="0" fontId="10" fillId="0" borderId="14" xfId="0" applyFont="1" applyBorder="1"/>
    <xf numFmtId="0" fontId="10" fillId="0" borderId="21" xfId="0" applyFont="1" applyBorder="1" applyAlignment="1">
      <alignment horizontal="center"/>
    </xf>
    <xf numFmtId="41" fontId="10" fillId="0" borderId="15" xfId="0" applyNumberFormat="1" applyFont="1" applyBorder="1"/>
    <xf numFmtId="0" fontId="10" fillId="0" borderId="3" xfId="0" applyFont="1" applyBorder="1"/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right" vertical="top"/>
    </xf>
    <xf numFmtId="0" fontId="10" fillId="0" borderId="4" xfId="0" applyFont="1" applyBorder="1" applyAlignment="1">
      <alignment horizontal="left" vertical="top"/>
    </xf>
    <xf numFmtId="41" fontId="10" fillId="0" borderId="3" xfId="0" applyNumberFormat="1" applyFont="1" applyBorder="1" applyAlignment="1">
      <alignment vertical="top"/>
    </xf>
    <xf numFmtId="0" fontId="10" fillId="0" borderId="0" xfId="0" applyFont="1" applyAlignment="1">
      <alignment horizontal="center" vertical="top"/>
    </xf>
    <xf numFmtId="41" fontId="10" fillId="0" borderId="4" xfId="0" applyNumberFormat="1" applyFont="1" applyBorder="1" applyAlignment="1">
      <alignment horizontal="left" vertical="top"/>
    </xf>
    <xf numFmtId="41" fontId="10" fillId="0" borderId="16" xfId="0" applyNumberFormat="1" applyFont="1" applyBorder="1" applyAlignment="1">
      <alignment vertical="top"/>
    </xf>
    <xf numFmtId="0" fontId="10" fillId="0" borderId="5" xfId="0" applyFont="1" applyBorder="1" applyAlignment="1">
      <alignment horizontal="center" vertical="top"/>
    </xf>
    <xf numFmtId="41" fontId="10" fillId="0" borderId="17" xfId="0" applyNumberFormat="1" applyFont="1" applyBorder="1" applyAlignment="1">
      <alignment horizontal="left" vertical="top"/>
    </xf>
    <xf numFmtId="41" fontId="10" fillId="0" borderId="14" xfId="0" applyNumberFormat="1" applyFont="1" applyBorder="1"/>
    <xf numFmtId="41" fontId="10" fillId="0" borderId="21" xfId="0" applyNumberFormat="1" applyFont="1" applyBorder="1" applyAlignment="1">
      <alignment horizontal="center"/>
    </xf>
    <xf numFmtId="169" fontId="10" fillId="0" borderId="3" xfId="0" applyNumberFormat="1" applyFont="1" applyBorder="1" applyAlignment="1">
      <alignment horizontal="right"/>
    </xf>
    <xf numFmtId="41" fontId="10" fillId="0" borderId="3" xfId="0" applyNumberFormat="1" applyFont="1" applyBorder="1"/>
    <xf numFmtId="41" fontId="10" fillId="0" borderId="0" xfId="0" applyNumberFormat="1" applyFont="1" applyAlignment="1">
      <alignment horizontal="center"/>
    </xf>
    <xf numFmtId="41" fontId="10" fillId="0" borderId="4" xfId="0" applyNumberFormat="1" applyFont="1" applyBorder="1" applyAlignment="1">
      <alignment horizontal="left"/>
    </xf>
    <xf numFmtId="41" fontId="10" fillId="0" borderId="5" xfId="0" applyNumberFormat="1" applyFont="1" applyBorder="1" applyAlignment="1">
      <alignment horizontal="center" vertical="top"/>
    </xf>
    <xf numFmtId="169" fontId="10" fillId="0" borderId="17" xfId="0" applyNumberFormat="1" applyFont="1" applyBorder="1" applyAlignment="1">
      <alignment horizontal="left" vertical="top"/>
    </xf>
    <xf numFmtId="167" fontId="22" fillId="0" borderId="0" xfId="0" applyNumberFormat="1" applyFont="1"/>
    <xf numFmtId="167" fontId="22" fillId="0" borderId="0" xfId="0" applyNumberFormat="1" applyFont="1" applyAlignment="1">
      <alignment horizontal="right"/>
    </xf>
    <xf numFmtId="167" fontId="16" fillId="0" borderId="1" xfId="0" applyNumberFormat="1" applyFont="1" applyBorder="1" applyAlignment="1">
      <alignment horizontal="right" vertical="center"/>
    </xf>
    <xf numFmtId="167" fontId="18" fillId="0" borderId="5" xfId="0" applyNumberFormat="1" applyFont="1" applyBorder="1"/>
    <xf numFmtId="0" fontId="9" fillId="0" borderId="0" xfId="0" applyFont="1"/>
    <xf numFmtId="167" fontId="9" fillId="0" borderId="0" xfId="0" applyNumberFormat="1" applyFont="1"/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vertical="center" wrapText="1"/>
    </xf>
    <xf numFmtId="0" fontId="18" fillId="0" borderId="0" xfId="0" applyFont="1" applyAlignment="1">
      <alignment horizontal="center"/>
    </xf>
    <xf numFmtId="168" fontId="16" fillId="0" borderId="0" xfId="4" applyNumberFormat="1" applyFont="1" applyBorder="1"/>
    <xf numFmtId="167" fontId="16" fillId="0" borderId="0" xfId="0" applyNumberFormat="1" applyFont="1"/>
    <xf numFmtId="3" fontId="16" fillId="0" borderId="0" xfId="0" applyNumberFormat="1" applyFont="1"/>
    <xf numFmtId="9" fontId="18" fillId="0" borderId="0" xfId="0" applyNumberFormat="1" applyFont="1"/>
    <xf numFmtId="1" fontId="35" fillId="0" borderId="0" xfId="2" applyNumberFormat="1" applyFont="1" applyFill="1" applyAlignment="1"/>
    <xf numFmtId="170" fontId="18" fillId="0" borderId="0" xfId="0" applyNumberFormat="1" applyFont="1"/>
    <xf numFmtId="170" fontId="18" fillId="0" borderId="0" xfId="1" applyNumberFormat="1" applyFont="1"/>
    <xf numFmtId="0" fontId="7" fillId="0" borderId="0" xfId="0" applyFont="1" applyAlignment="1">
      <alignment horizontal="right"/>
    </xf>
    <xf numFmtId="168" fontId="18" fillId="0" borderId="0" xfId="0" applyNumberFormat="1" applyFont="1"/>
    <xf numFmtId="0" fontId="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0" fillId="3" borderId="0" xfId="0" applyFill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22" fillId="0" borderId="14" xfId="0" applyFont="1" applyBorder="1" applyAlignment="1">
      <alignment horizontal="left"/>
    </xf>
    <xf numFmtId="0" fontId="18" fillId="0" borderId="21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6" fillId="0" borderId="3" xfId="0" applyFont="1" applyBorder="1" applyAlignment="1">
      <alignment horizontal="right"/>
    </xf>
    <xf numFmtId="168" fontId="18" fillId="0" borderId="0" xfId="4" applyNumberFormat="1" applyFont="1" applyBorder="1"/>
    <xf numFmtId="0" fontId="18" fillId="0" borderId="4" xfId="0" applyFont="1" applyBorder="1" applyAlignment="1">
      <alignment horizontal="center"/>
    </xf>
    <xf numFmtId="170" fontId="18" fillId="0" borderId="0" xfId="4" applyNumberFormat="1" applyFont="1" applyBorder="1"/>
    <xf numFmtId="170" fontId="18" fillId="0" borderId="4" xfId="0" applyNumberFormat="1" applyFont="1" applyBorder="1"/>
    <xf numFmtId="170" fontId="16" fillId="0" borderId="13" xfId="3" applyNumberFormat="1" applyFont="1" applyFill="1" applyBorder="1" applyAlignment="1">
      <alignment horizontal="right"/>
    </xf>
    <xf numFmtId="0" fontId="18" fillId="0" borderId="12" xfId="0" applyFont="1" applyBorder="1"/>
    <xf numFmtId="170" fontId="18" fillId="0" borderId="1" xfId="0" applyNumberFormat="1" applyFont="1" applyBorder="1"/>
    <xf numFmtId="0" fontId="18" fillId="0" borderId="22" xfId="0" applyFont="1" applyBorder="1" applyAlignment="1">
      <alignment horizontal="center"/>
    </xf>
    <xf numFmtId="0" fontId="18" fillId="0" borderId="0" xfId="0" applyFont="1" applyAlignment="1">
      <alignment horizontal="right"/>
    </xf>
    <xf numFmtId="168" fontId="22" fillId="0" borderId="0" xfId="4" applyNumberFormat="1" applyFont="1" applyAlignment="1">
      <alignment horizontal="right"/>
    </xf>
    <xf numFmtId="170" fontId="5" fillId="0" borderId="0" xfId="0" applyNumberFormat="1" applyFont="1"/>
    <xf numFmtId="0" fontId="44" fillId="3" borderId="0" xfId="0" applyFont="1" applyFill="1"/>
    <xf numFmtId="0" fontId="22" fillId="0" borderId="0" xfId="0" applyFont="1" applyAlignment="1">
      <alignment horizontal="right"/>
    </xf>
    <xf numFmtId="0" fontId="22" fillId="0" borderId="4" xfId="0" applyFont="1" applyBorder="1" applyAlignment="1">
      <alignment horizontal="right"/>
    </xf>
    <xf numFmtId="171" fontId="18" fillId="0" borderId="0" xfId="4" applyNumberFormat="1" applyFont="1" applyBorder="1"/>
    <xf numFmtId="0" fontId="22" fillId="0" borderId="4" xfId="0" applyFont="1" applyBorder="1" applyAlignment="1">
      <alignment horizontal="left" vertical="center"/>
    </xf>
    <xf numFmtId="0" fontId="22" fillId="0" borderId="3" xfId="0" applyFont="1" applyBorder="1" applyAlignment="1">
      <alignment horizontal="right" vertical="center"/>
    </xf>
    <xf numFmtId="0" fontId="4" fillId="0" borderId="0" xfId="0" applyFont="1"/>
    <xf numFmtId="3" fontId="39" fillId="0" borderId="0" xfId="0" applyNumberFormat="1" applyFont="1"/>
    <xf numFmtId="168" fontId="39" fillId="0" borderId="0" xfId="0" applyNumberFormat="1" applyFont="1"/>
    <xf numFmtId="1" fontId="19" fillId="0" borderId="0" xfId="1" applyNumberFormat="1" applyFont="1" applyFill="1" applyAlignment="1">
      <alignment horizontal="right"/>
    </xf>
    <xf numFmtId="3" fontId="29" fillId="0" borderId="1" xfId="3" applyNumberFormat="1" applyFont="1" applyFill="1" applyBorder="1" applyAlignment="1">
      <alignment horizontal="right"/>
    </xf>
    <xf numFmtId="0" fontId="3" fillId="0" borderId="0" xfId="0" applyFont="1"/>
    <xf numFmtId="0" fontId="46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1" fillId="0" borderId="0" xfId="0" applyFont="1" applyAlignment="1">
      <alignment horizontal="right"/>
    </xf>
    <xf numFmtId="0" fontId="47" fillId="0" borderId="0" xfId="0" applyFont="1" applyAlignment="1">
      <alignment horizontal="right"/>
    </xf>
    <xf numFmtId="0" fontId="47" fillId="0" borderId="0" xfId="0" applyFont="1"/>
    <xf numFmtId="0" fontId="36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70" fontId="18" fillId="0" borderId="0" xfId="0" applyNumberFormat="1" applyFont="1" applyAlignment="1">
      <alignment horizontal="center"/>
    </xf>
    <xf numFmtId="172" fontId="18" fillId="0" borderId="0" xfId="0" applyNumberFormat="1" applyFont="1" applyAlignment="1">
      <alignment horizontal="center"/>
    </xf>
    <xf numFmtId="168" fontId="22" fillId="0" borderId="4" xfId="0" applyNumberFormat="1" applyFont="1" applyBorder="1" applyAlignment="1">
      <alignment horizontal="left" vertical="center"/>
    </xf>
    <xf numFmtId="168" fontId="36" fillId="0" borderId="0" xfId="4" applyNumberFormat="1" applyFont="1" applyBorder="1"/>
    <xf numFmtId="168" fontId="36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31" fillId="0" borderId="3" xfId="0" applyFont="1" applyBorder="1" applyAlignment="1">
      <alignment horizontal="right"/>
    </xf>
    <xf numFmtId="168" fontId="3" fillId="0" borderId="0" xfId="0" applyNumberFormat="1" applyFont="1" applyAlignment="1">
      <alignment horizontal="left" vertical="center"/>
    </xf>
    <xf numFmtId="168" fontId="3" fillId="0" borderId="0" xfId="0" applyNumberFormat="1" applyFont="1" applyAlignment="1">
      <alignment horizontal="left" vertical="center" wrapText="1"/>
    </xf>
    <xf numFmtId="170" fontId="3" fillId="0" borderId="0" xfId="0" applyNumberFormat="1" applyFont="1" applyAlignment="1">
      <alignment horizontal="left" vertical="center"/>
    </xf>
    <xf numFmtId="170" fontId="22" fillId="0" borderId="0" xfId="0" applyNumberFormat="1" applyFont="1" applyAlignment="1">
      <alignment horizontal="left" vertical="center"/>
    </xf>
    <xf numFmtId="168" fontId="22" fillId="0" borderId="0" xfId="0" applyNumberFormat="1" applyFont="1" applyAlignment="1">
      <alignment horizontal="left" vertical="center"/>
    </xf>
    <xf numFmtId="0" fontId="22" fillId="0" borderId="16" xfId="0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/>
    </xf>
    <xf numFmtId="0" fontId="22" fillId="0" borderId="14" xfId="0" applyFont="1" applyBorder="1"/>
    <xf numFmtId="0" fontId="18" fillId="0" borderId="21" xfId="0" applyFont="1" applyBorder="1"/>
    <xf numFmtId="0" fontId="7" fillId="0" borderId="21" xfId="0" applyFont="1" applyBorder="1" applyAlignment="1">
      <alignment horizontal="left" vertical="center"/>
    </xf>
    <xf numFmtId="171" fontId="16" fillId="0" borderId="1" xfId="4" applyNumberFormat="1" applyFont="1" applyFill="1" applyBorder="1" applyAlignment="1"/>
    <xf numFmtId="171" fontId="7" fillId="0" borderId="0" xfId="4" applyNumberFormat="1" applyFont="1" applyBorder="1" applyAlignment="1">
      <alignment horizontal="left" vertical="center"/>
    </xf>
    <xf numFmtId="171" fontId="18" fillId="0" borderId="0" xfId="4" applyNumberFormat="1" applyFont="1" applyBorder="1" applyAlignment="1">
      <alignment horizontal="center" vertical="center"/>
    </xf>
    <xf numFmtId="0" fontId="2" fillId="0" borderId="0" xfId="0" applyFont="1"/>
    <xf numFmtId="3" fontId="16" fillId="0" borderId="0" xfId="2" applyNumberFormat="1" applyFont="1" applyFill="1" applyAlignment="1"/>
    <xf numFmtId="0" fontId="28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30" fillId="3" borderId="0" xfId="0" applyFont="1" applyFill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3" fillId="3" borderId="18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3" fillId="3" borderId="0" xfId="0" applyFont="1" applyFill="1" applyAlignment="1">
      <alignment horizontal="center" vertical="center" wrapText="1"/>
    </xf>
    <xf numFmtId="49" fontId="39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5" fillId="3" borderId="0" xfId="0" applyFont="1" applyFill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</cellXfs>
  <cellStyles count="5">
    <cellStyle name="Comma" xfId="4" builtinId="3"/>
    <cellStyle name="Normal" xfId="0" builtinId="0"/>
    <cellStyle name="Percent" xfId="1" builtinId="5"/>
    <cellStyle name="Prozent 2" xfId="3" xr:uid="{00000000-0005-0000-0000-000003000000}"/>
    <cellStyle name="Standard 2" xfId="2" xr:uid="{00000000-0005-0000-0000-000004000000}"/>
  </cellStyles>
  <dxfs count="0"/>
  <tableStyles count="0" defaultTableStyle="TableStyleMedium2" defaultPivotStyle="PivotStyleLight16"/>
  <colors>
    <mruColors>
      <color rgb="FF0000FF"/>
      <color rgb="FF003145"/>
      <color rgb="FFFB5A17"/>
      <color rgb="FF001848"/>
      <color rgb="FFBFE3EC"/>
      <color rgb="FF5EB9CF"/>
      <color rgb="FF1D8B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76869</xdr:colOff>
      <xdr:row>0</xdr:row>
      <xdr:rowOff>23813</xdr:rowOff>
    </xdr:from>
    <xdr:to>
      <xdr:col>0</xdr:col>
      <xdr:colOff>2288115</xdr:colOff>
      <xdr:row>4</xdr:row>
      <xdr:rowOff>23813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014212-0042-4DEC-AD07-92BAE2DF6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9" y="23813"/>
          <a:ext cx="2211246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2250280</xdr:colOff>
      <xdr:row>0</xdr:row>
      <xdr:rowOff>23812</xdr:rowOff>
    </xdr:from>
    <xdr:to>
      <xdr:col>4</xdr:col>
      <xdr:colOff>881062</xdr:colOff>
      <xdr:row>5</xdr:row>
      <xdr:rowOff>14883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80880A-9EF6-4BB9-8D8E-4C311E014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0280" y="23812"/>
          <a:ext cx="3907632" cy="98167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76869</xdr:colOff>
      <xdr:row>0</xdr:row>
      <xdr:rowOff>23813</xdr:rowOff>
    </xdr:from>
    <xdr:to>
      <xdr:col>0</xdr:col>
      <xdr:colOff>2288115</xdr:colOff>
      <xdr:row>4</xdr:row>
      <xdr:rowOff>23813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2084AF-ADDB-4EBC-85F2-06E051D41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9" y="23813"/>
          <a:ext cx="2211246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2250280</xdr:colOff>
      <xdr:row>0</xdr:row>
      <xdr:rowOff>23812</xdr:rowOff>
    </xdr:from>
    <xdr:to>
      <xdr:col>2</xdr:col>
      <xdr:colOff>1869281</xdr:colOff>
      <xdr:row>5</xdr:row>
      <xdr:rowOff>14883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865D11-90BA-4793-AE38-027850790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0280" y="23812"/>
          <a:ext cx="3907632" cy="981671"/>
        </a:xfrm>
        <a:prstGeom prst="rect">
          <a:avLst/>
        </a:prstGeom>
      </xdr:spPr>
    </xdr:pic>
    <xdr:clientData/>
  </xdr:twoCellAnchor>
  <xdr:twoCellAnchor>
    <xdr:from>
      <xdr:col>10</xdr:col>
      <xdr:colOff>428625</xdr:colOff>
      <xdr:row>1</xdr:row>
      <xdr:rowOff>83342</xdr:rowOff>
    </xdr:from>
    <xdr:to>
      <xdr:col>13</xdr:col>
      <xdr:colOff>1297780</xdr:colOff>
      <xdr:row>4</xdr:row>
      <xdr:rowOff>35717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B2A6593-08D7-45D4-805A-C956A0356499}"/>
            </a:ext>
          </a:extLst>
        </xdr:cNvPr>
        <xdr:cNvSpPr txBox="1"/>
      </xdr:nvSpPr>
      <xdr:spPr>
        <a:xfrm>
          <a:off x="20609719" y="309561"/>
          <a:ext cx="3750467" cy="523875"/>
        </a:xfrm>
        <a:prstGeom prst="rect">
          <a:avLst/>
        </a:prstGeom>
        <a:solidFill>
          <a:srgbClr val="00314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4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[NAME] GmbH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76869</xdr:colOff>
      <xdr:row>0</xdr:row>
      <xdr:rowOff>23813</xdr:rowOff>
    </xdr:from>
    <xdr:to>
      <xdr:col>0</xdr:col>
      <xdr:colOff>2288115</xdr:colOff>
      <xdr:row>4</xdr:row>
      <xdr:rowOff>23813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30CAC38-48D5-4627-8688-AB1677F85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9" y="23813"/>
          <a:ext cx="2211246" cy="797719"/>
        </a:xfrm>
        <a:prstGeom prst="rect">
          <a:avLst/>
        </a:prstGeom>
      </xdr:spPr>
    </xdr:pic>
    <xdr:clientData/>
  </xdr:twoCellAnchor>
  <xdr:twoCellAnchor editAs="oneCell">
    <xdr:from>
      <xdr:col>0</xdr:col>
      <xdr:colOff>2250280</xdr:colOff>
      <xdr:row>0</xdr:row>
      <xdr:rowOff>23812</xdr:rowOff>
    </xdr:from>
    <xdr:to>
      <xdr:col>4</xdr:col>
      <xdr:colOff>881062</xdr:colOff>
      <xdr:row>5</xdr:row>
      <xdr:rowOff>14883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3C28644-8D54-417F-9F06-E6E7744FB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0280" y="23812"/>
          <a:ext cx="3917157" cy="979290"/>
        </a:xfrm>
        <a:prstGeom prst="rect">
          <a:avLst/>
        </a:prstGeom>
      </xdr:spPr>
    </xdr:pic>
    <xdr:clientData/>
  </xdr:twoCellAnchor>
  <xdr:twoCellAnchor>
    <xdr:from>
      <xdr:col>12</xdr:col>
      <xdr:colOff>25001</xdr:colOff>
      <xdr:row>0</xdr:row>
      <xdr:rowOff>202407</xdr:rowOff>
    </xdr:from>
    <xdr:to>
      <xdr:col>13</xdr:col>
      <xdr:colOff>1297780</xdr:colOff>
      <xdr:row>4</xdr:row>
      <xdr:rowOff>35718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0F1F778-5D28-4C99-AD3D-33636EEEDE81}"/>
            </a:ext>
          </a:extLst>
        </xdr:cNvPr>
        <xdr:cNvSpPr txBox="1"/>
      </xdr:nvSpPr>
      <xdr:spPr>
        <a:xfrm>
          <a:off x="13598126" y="202407"/>
          <a:ext cx="2653904" cy="631030"/>
        </a:xfrm>
        <a:prstGeom prst="rect">
          <a:avLst/>
        </a:prstGeom>
        <a:solidFill>
          <a:srgbClr val="00314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4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[NAME] GmbH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76869</xdr:colOff>
      <xdr:row>0</xdr:row>
      <xdr:rowOff>23813</xdr:rowOff>
    </xdr:from>
    <xdr:to>
      <xdr:col>0</xdr:col>
      <xdr:colOff>2288115</xdr:colOff>
      <xdr:row>4</xdr:row>
      <xdr:rowOff>23813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0C2C52-0E0E-4549-ACDE-112AECEF1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9" y="23813"/>
          <a:ext cx="2211246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2250280</xdr:colOff>
      <xdr:row>0</xdr:row>
      <xdr:rowOff>23812</xdr:rowOff>
    </xdr:from>
    <xdr:to>
      <xdr:col>4</xdr:col>
      <xdr:colOff>833437</xdr:colOff>
      <xdr:row>5</xdr:row>
      <xdr:rowOff>14883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152422-60AB-4274-8774-28DC54731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0280" y="23812"/>
          <a:ext cx="3907632" cy="981671"/>
        </a:xfrm>
        <a:prstGeom prst="rect">
          <a:avLst/>
        </a:prstGeom>
      </xdr:spPr>
    </xdr:pic>
    <xdr:clientData/>
  </xdr:twoCellAnchor>
  <xdr:twoCellAnchor>
    <xdr:from>
      <xdr:col>10</xdr:col>
      <xdr:colOff>583405</xdr:colOff>
      <xdr:row>0</xdr:row>
      <xdr:rowOff>214312</xdr:rowOff>
    </xdr:from>
    <xdr:to>
      <xdr:col>12</xdr:col>
      <xdr:colOff>1666874</xdr:colOff>
      <xdr:row>4</xdr:row>
      <xdr:rowOff>23811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50FFBFC-2E0E-4CA2-8720-A95AD672BF58}"/>
            </a:ext>
          </a:extLst>
        </xdr:cNvPr>
        <xdr:cNvSpPr txBox="1"/>
      </xdr:nvSpPr>
      <xdr:spPr>
        <a:xfrm>
          <a:off x="9584530" y="214312"/>
          <a:ext cx="2917032" cy="607218"/>
        </a:xfrm>
        <a:prstGeom prst="rect">
          <a:avLst/>
        </a:prstGeom>
        <a:solidFill>
          <a:srgbClr val="00314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4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[NAME] GmbH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76869</xdr:colOff>
      <xdr:row>0</xdr:row>
      <xdr:rowOff>23813</xdr:rowOff>
    </xdr:from>
    <xdr:to>
      <xdr:col>1</xdr:col>
      <xdr:colOff>1228459</xdr:colOff>
      <xdr:row>4</xdr:row>
      <xdr:rowOff>23813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1068C8-3528-4212-A1D2-2C71A4761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9" y="23813"/>
          <a:ext cx="2211246" cy="800100"/>
        </a:xfrm>
        <a:prstGeom prst="rect">
          <a:avLst/>
        </a:prstGeom>
      </xdr:spPr>
    </xdr:pic>
    <xdr:clientData/>
  </xdr:twoCellAnchor>
  <xdr:twoCellAnchor editAs="oneCell">
    <xdr:from>
      <xdr:col>1</xdr:col>
      <xdr:colOff>1535905</xdr:colOff>
      <xdr:row>0</xdr:row>
      <xdr:rowOff>23812</xdr:rowOff>
    </xdr:from>
    <xdr:to>
      <xdr:col>5</xdr:col>
      <xdr:colOff>190499</xdr:colOff>
      <xdr:row>5</xdr:row>
      <xdr:rowOff>14883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356299-C21B-41AC-A602-23A08B726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5561" y="23812"/>
          <a:ext cx="3917157" cy="979290"/>
        </a:xfrm>
        <a:prstGeom prst="rect">
          <a:avLst/>
        </a:prstGeom>
      </xdr:spPr>
    </xdr:pic>
    <xdr:clientData/>
  </xdr:twoCellAnchor>
  <xdr:twoCellAnchor>
    <xdr:from>
      <xdr:col>8</xdr:col>
      <xdr:colOff>452436</xdr:colOff>
      <xdr:row>1</xdr:row>
      <xdr:rowOff>154780</xdr:rowOff>
    </xdr:from>
    <xdr:to>
      <xdr:col>11</xdr:col>
      <xdr:colOff>0</xdr:colOff>
      <xdr:row>4</xdr:row>
      <xdr:rowOff>190498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C8BC266-784F-4F78-A4AA-17E869255293}"/>
            </a:ext>
          </a:extLst>
        </xdr:cNvPr>
        <xdr:cNvSpPr txBox="1"/>
      </xdr:nvSpPr>
      <xdr:spPr>
        <a:xfrm>
          <a:off x="6774655" y="380999"/>
          <a:ext cx="2952750" cy="607218"/>
        </a:xfrm>
        <a:prstGeom prst="rect">
          <a:avLst/>
        </a:prstGeom>
        <a:solidFill>
          <a:srgbClr val="00314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4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[NAME] GmbH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76869</xdr:colOff>
      <xdr:row>0</xdr:row>
      <xdr:rowOff>23813</xdr:rowOff>
    </xdr:from>
    <xdr:to>
      <xdr:col>0</xdr:col>
      <xdr:colOff>2288115</xdr:colOff>
      <xdr:row>4</xdr:row>
      <xdr:rowOff>23813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9F1209-E5DE-4A36-A5C2-81E344E1B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9" y="23813"/>
          <a:ext cx="2211246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2250280</xdr:colOff>
      <xdr:row>0</xdr:row>
      <xdr:rowOff>23812</xdr:rowOff>
    </xdr:from>
    <xdr:to>
      <xdr:col>4</xdr:col>
      <xdr:colOff>833437</xdr:colOff>
      <xdr:row>5</xdr:row>
      <xdr:rowOff>14883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CD3020-28FA-4E3B-AF98-42AC6B027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0280" y="23812"/>
          <a:ext cx="3917157" cy="981671"/>
        </a:xfrm>
        <a:prstGeom prst="rect">
          <a:avLst/>
        </a:prstGeom>
      </xdr:spPr>
    </xdr:pic>
    <xdr:clientData/>
  </xdr:twoCellAnchor>
  <xdr:twoCellAnchor>
    <xdr:from>
      <xdr:col>8</xdr:col>
      <xdr:colOff>583405</xdr:colOff>
      <xdr:row>0</xdr:row>
      <xdr:rowOff>214312</xdr:rowOff>
    </xdr:from>
    <xdr:to>
      <xdr:col>10</xdr:col>
      <xdr:colOff>1666874</xdr:colOff>
      <xdr:row>4</xdr:row>
      <xdr:rowOff>23811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7A95F2D-8460-47C6-8C9D-DFE755509231}"/>
            </a:ext>
          </a:extLst>
        </xdr:cNvPr>
        <xdr:cNvSpPr txBox="1"/>
      </xdr:nvSpPr>
      <xdr:spPr>
        <a:xfrm>
          <a:off x="11418093" y="214312"/>
          <a:ext cx="2917031" cy="607218"/>
        </a:xfrm>
        <a:prstGeom prst="rect">
          <a:avLst/>
        </a:prstGeom>
        <a:solidFill>
          <a:srgbClr val="00314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4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[NAME] GmbH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76869</xdr:colOff>
      <xdr:row>0</xdr:row>
      <xdr:rowOff>23813</xdr:rowOff>
    </xdr:from>
    <xdr:to>
      <xdr:col>0</xdr:col>
      <xdr:colOff>2288115</xdr:colOff>
      <xdr:row>4</xdr:row>
      <xdr:rowOff>23813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59D02D-8EC0-42F1-9BAF-396C5C3DF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9" y="23813"/>
          <a:ext cx="2211246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2250280</xdr:colOff>
      <xdr:row>0</xdr:row>
      <xdr:rowOff>23812</xdr:rowOff>
    </xdr:from>
    <xdr:to>
      <xdr:col>4</xdr:col>
      <xdr:colOff>833437</xdr:colOff>
      <xdr:row>5</xdr:row>
      <xdr:rowOff>14883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E48B3E-327C-4BB8-BEF6-2E0F48310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0280" y="23812"/>
          <a:ext cx="3907632" cy="981671"/>
        </a:xfrm>
        <a:prstGeom prst="rect">
          <a:avLst/>
        </a:prstGeom>
      </xdr:spPr>
    </xdr:pic>
    <xdr:clientData/>
  </xdr:twoCellAnchor>
  <xdr:twoCellAnchor>
    <xdr:from>
      <xdr:col>14</xdr:col>
      <xdr:colOff>440530</xdr:colOff>
      <xdr:row>1</xdr:row>
      <xdr:rowOff>154781</xdr:rowOff>
    </xdr:from>
    <xdr:to>
      <xdr:col>16</xdr:col>
      <xdr:colOff>1607344</xdr:colOff>
      <xdr:row>4</xdr:row>
      <xdr:rowOff>95249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83671F5-ACBE-4967-930B-DEF4CCB3977F}"/>
            </a:ext>
          </a:extLst>
        </xdr:cNvPr>
        <xdr:cNvSpPr txBox="1"/>
      </xdr:nvSpPr>
      <xdr:spPr>
        <a:xfrm>
          <a:off x="14942343" y="381000"/>
          <a:ext cx="3000376" cy="511968"/>
        </a:xfrm>
        <a:prstGeom prst="rect">
          <a:avLst/>
        </a:prstGeom>
        <a:solidFill>
          <a:srgbClr val="00314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4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[NAME] GmbH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76869</xdr:colOff>
      <xdr:row>0</xdr:row>
      <xdr:rowOff>23813</xdr:rowOff>
    </xdr:from>
    <xdr:to>
      <xdr:col>0</xdr:col>
      <xdr:colOff>2288115</xdr:colOff>
      <xdr:row>4</xdr:row>
      <xdr:rowOff>23813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C7DECC-9ABE-4C32-BFA3-4BC13F896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9" y="23813"/>
          <a:ext cx="2211246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2250280</xdr:colOff>
      <xdr:row>0</xdr:row>
      <xdr:rowOff>23812</xdr:rowOff>
    </xdr:from>
    <xdr:to>
      <xdr:col>4</xdr:col>
      <xdr:colOff>881062</xdr:colOff>
      <xdr:row>5</xdr:row>
      <xdr:rowOff>14883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2BACEB-DDD5-4F38-9CD0-A19AAFBA1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0280" y="23812"/>
          <a:ext cx="3907632" cy="981671"/>
        </a:xfrm>
        <a:prstGeom prst="rect">
          <a:avLst/>
        </a:prstGeom>
      </xdr:spPr>
    </xdr:pic>
    <xdr:clientData/>
  </xdr:twoCellAnchor>
  <xdr:twoCellAnchor>
    <xdr:from>
      <xdr:col>4</xdr:col>
      <xdr:colOff>1131095</xdr:colOff>
      <xdr:row>0</xdr:row>
      <xdr:rowOff>226218</xdr:rowOff>
    </xdr:from>
    <xdr:to>
      <xdr:col>6</xdr:col>
      <xdr:colOff>1</xdr:colOff>
      <xdr:row>4</xdr:row>
      <xdr:rowOff>23810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409253B-6D0C-4F47-9990-193C137D13FB}"/>
            </a:ext>
          </a:extLst>
        </xdr:cNvPr>
        <xdr:cNvSpPr txBox="1"/>
      </xdr:nvSpPr>
      <xdr:spPr>
        <a:xfrm>
          <a:off x="6465095" y="226218"/>
          <a:ext cx="3059906" cy="595311"/>
        </a:xfrm>
        <a:prstGeom prst="rect">
          <a:avLst/>
        </a:prstGeom>
        <a:solidFill>
          <a:srgbClr val="00314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4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[NAME] GmbH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76869</xdr:colOff>
      <xdr:row>0</xdr:row>
      <xdr:rowOff>23813</xdr:rowOff>
    </xdr:from>
    <xdr:to>
      <xdr:col>0</xdr:col>
      <xdr:colOff>2288115</xdr:colOff>
      <xdr:row>4</xdr:row>
      <xdr:rowOff>23813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424935-C17F-46A3-A00F-7EA6996AB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9" y="23813"/>
          <a:ext cx="2211246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2250280</xdr:colOff>
      <xdr:row>0</xdr:row>
      <xdr:rowOff>23812</xdr:rowOff>
    </xdr:from>
    <xdr:to>
      <xdr:col>4</xdr:col>
      <xdr:colOff>654843</xdr:colOff>
      <xdr:row>5</xdr:row>
      <xdr:rowOff>14883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CE7007-16C0-4401-8563-3E360F092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0280" y="23812"/>
          <a:ext cx="3907632" cy="981671"/>
        </a:xfrm>
        <a:prstGeom prst="rect">
          <a:avLst/>
        </a:prstGeom>
      </xdr:spPr>
    </xdr:pic>
    <xdr:clientData/>
  </xdr:twoCellAnchor>
  <xdr:twoCellAnchor>
    <xdr:from>
      <xdr:col>10</xdr:col>
      <xdr:colOff>464345</xdr:colOff>
      <xdr:row>1</xdr:row>
      <xdr:rowOff>23812</xdr:rowOff>
    </xdr:from>
    <xdr:to>
      <xdr:col>12</xdr:col>
      <xdr:colOff>1487092</xdr:colOff>
      <xdr:row>4</xdr:row>
      <xdr:rowOff>83342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8B179AB-5FC0-44F4-AB65-9A2433948B56}"/>
            </a:ext>
          </a:extLst>
        </xdr:cNvPr>
        <xdr:cNvSpPr txBox="1"/>
      </xdr:nvSpPr>
      <xdr:spPr>
        <a:xfrm>
          <a:off x="8810626" y="250031"/>
          <a:ext cx="2653904" cy="631030"/>
        </a:xfrm>
        <a:prstGeom prst="rect">
          <a:avLst/>
        </a:prstGeom>
        <a:solidFill>
          <a:srgbClr val="00314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4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[NAME] GmbH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76869</xdr:colOff>
      <xdr:row>0</xdr:row>
      <xdr:rowOff>23813</xdr:rowOff>
    </xdr:from>
    <xdr:to>
      <xdr:col>0</xdr:col>
      <xdr:colOff>2288115</xdr:colOff>
      <xdr:row>4</xdr:row>
      <xdr:rowOff>23813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C4D343-DCCA-4DAF-BC90-D329D2E39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9" y="23813"/>
          <a:ext cx="2211246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2250280</xdr:colOff>
      <xdr:row>0</xdr:row>
      <xdr:rowOff>23812</xdr:rowOff>
    </xdr:from>
    <xdr:to>
      <xdr:col>4</xdr:col>
      <xdr:colOff>881062</xdr:colOff>
      <xdr:row>5</xdr:row>
      <xdr:rowOff>14883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19E12C-AD0C-41A5-A35C-C7D2E3785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0280" y="23812"/>
          <a:ext cx="3907632" cy="981671"/>
        </a:xfrm>
        <a:prstGeom prst="rect">
          <a:avLst/>
        </a:prstGeom>
      </xdr:spPr>
    </xdr:pic>
    <xdr:clientData/>
  </xdr:twoCellAnchor>
  <xdr:twoCellAnchor>
    <xdr:from>
      <xdr:col>13</xdr:col>
      <xdr:colOff>25001</xdr:colOff>
      <xdr:row>0</xdr:row>
      <xdr:rowOff>202407</xdr:rowOff>
    </xdr:from>
    <xdr:to>
      <xdr:col>14</xdr:col>
      <xdr:colOff>1297780</xdr:colOff>
      <xdr:row>4</xdr:row>
      <xdr:rowOff>35718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5A004C1-2FFE-4E35-B226-BC92D4532CF3}"/>
            </a:ext>
          </a:extLst>
        </xdr:cNvPr>
        <xdr:cNvSpPr txBox="1"/>
      </xdr:nvSpPr>
      <xdr:spPr>
        <a:xfrm>
          <a:off x="15150701" y="202407"/>
          <a:ext cx="2653904" cy="633411"/>
        </a:xfrm>
        <a:prstGeom prst="rect">
          <a:avLst/>
        </a:prstGeom>
        <a:solidFill>
          <a:srgbClr val="00314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4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[NAME] GmbH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33375-FDD2-4B5D-9A92-A3E4AE862C7A}">
  <sheetPr>
    <tabColor rgb="FF00B050"/>
    <pageSetUpPr fitToPage="1"/>
  </sheetPr>
  <dimension ref="A1:K24"/>
  <sheetViews>
    <sheetView zoomScale="80" zoomScaleNormal="80" workbookViewId="0">
      <pane ySplit="5" topLeftCell="A6" activePane="bottomLeft" state="frozen"/>
      <selection pane="bottomLeft" activeCell="M39" sqref="M39"/>
    </sheetView>
  </sheetViews>
  <sheetFormatPr defaultColWidth="11.42578125" defaultRowHeight="15" customHeight="1"/>
  <cols>
    <col min="1" max="1" width="50" style="3" customWidth="1"/>
    <col min="2" max="2" width="1.7109375" style="3" customWidth="1"/>
    <col min="3" max="3" width="25.7109375" style="3" customWidth="1"/>
    <col min="4" max="4" width="1.7109375" style="3" customWidth="1"/>
    <col min="5" max="8" width="25.7109375" style="3" customWidth="1"/>
    <col min="9" max="9" width="1.7109375" style="3" customWidth="1"/>
    <col min="10" max="11" width="20.7109375" style="3" customWidth="1"/>
    <col min="12" max="16384" width="11.42578125" style="3"/>
  </cols>
  <sheetData>
    <row r="1" spans="1:11" ht="18" customHeight="1">
      <c r="A1" s="16"/>
      <c r="B1" s="16"/>
      <c r="C1" s="16"/>
      <c r="D1" s="16"/>
      <c r="E1" s="16"/>
      <c r="F1" s="18"/>
      <c r="G1" s="18"/>
      <c r="H1" s="16"/>
      <c r="I1" s="264"/>
      <c r="J1" s="264"/>
      <c r="K1" s="264"/>
    </row>
    <row r="2" spans="1:11" ht="15" customHeight="1">
      <c r="A2" s="16"/>
      <c r="B2" s="16"/>
      <c r="C2" s="16"/>
      <c r="D2" s="16"/>
      <c r="E2" s="18"/>
      <c r="F2" s="18"/>
      <c r="G2" s="18"/>
      <c r="H2" s="16"/>
      <c r="I2" s="264"/>
      <c r="J2" s="264"/>
      <c r="K2" s="264"/>
    </row>
    <row r="3" spans="1:11" ht="15" customHeight="1">
      <c r="A3" s="16"/>
      <c r="B3" s="16"/>
      <c r="C3" s="16"/>
      <c r="D3" s="16"/>
      <c r="E3" s="18"/>
      <c r="F3" s="18"/>
      <c r="G3" s="219"/>
      <c r="H3" s="17" t="s">
        <v>4</v>
      </c>
      <c r="I3" s="264"/>
      <c r="J3" s="264"/>
      <c r="K3" s="264"/>
    </row>
    <row r="4" spans="1:11" ht="15" customHeight="1">
      <c r="A4" s="16"/>
      <c r="B4" s="16"/>
      <c r="C4" s="16"/>
      <c r="D4" s="16"/>
      <c r="E4" s="18"/>
      <c r="F4" s="18"/>
      <c r="G4" s="18"/>
      <c r="H4" s="16"/>
      <c r="I4" s="264"/>
      <c r="J4" s="264"/>
      <c r="K4" s="264"/>
    </row>
    <row r="5" spans="1:11" ht="15" customHeight="1">
      <c r="A5" s="16"/>
      <c r="B5" s="16"/>
      <c r="C5" s="16"/>
      <c r="D5" s="16"/>
      <c r="E5" s="16"/>
      <c r="F5" s="18"/>
      <c r="G5" s="18"/>
      <c r="H5" s="16"/>
      <c r="I5" s="264"/>
      <c r="J5" s="264"/>
      <c r="K5" s="264"/>
    </row>
    <row r="6" spans="1:11" ht="15" customHeight="1">
      <c r="J6" s="15"/>
      <c r="K6" s="15"/>
    </row>
    <row r="7" spans="1:11" ht="15" customHeight="1">
      <c r="A7" s="202" t="s">
        <v>210</v>
      </c>
    </row>
    <row r="9" spans="1:11" ht="15" customHeight="1">
      <c r="A9" s="202" t="s">
        <v>211</v>
      </c>
    </row>
    <row r="11" spans="1:11" ht="15" customHeight="1">
      <c r="A11" s="202" t="s">
        <v>203</v>
      </c>
    </row>
    <row r="13" spans="1:11" ht="15" customHeight="1">
      <c r="A13" s="203" t="s">
        <v>207</v>
      </c>
      <c r="C13" s="202" t="s">
        <v>25</v>
      </c>
    </row>
    <row r="14" spans="1:11" ht="15" customHeight="1">
      <c r="C14" s="202" t="s">
        <v>188</v>
      </c>
      <c r="E14" s="202" t="s">
        <v>204</v>
      </c>
    </row>
    <row r="15" spans="1:11" ht="15" customHeight="1">
      <c r="C15" s="202" t="s">
        <v>189</v>
      </c>
      <c r="E15" s="202" t="s">
        <v>205</v>
      </c>
    </row>
    <row r="16" spans="1:11" ht="15" customHeight="1">
      <c r="C16" s="202" t="s">
        <v>190</v>
      </c>
      <c r="E16" s="202" t="s">
        <v>206</v>
      </c>
    </row>
    <row r="18" spans="1:1" ht="15" customHeight="1">
      <c r="A18" s="202" t="s">
        <v>208</v>
      </c>
    </row>
    <row r="19" spans="1:1" ht="15" customHeight="1">
      <c r="A19" s="202"/>
    </row>
    <row r="20" spans="1:1" ht="15" customHeight="1">
      <c r="A20" s="202" t="s">
        <v>212</v>
      </c>
    </row>
    <row r="22" spans="1:1" ht="15" customHeight="1">
      <c r="A22" s="202" t="s">
        <v>213</v>
      </c>
    </row>
    <row r="24" spans="1:1" ht="15" customHeight="1">
      <c r="A24" s="202" t="s">
        <v>209</v>
      </c>
    </row>
  </sheetData>
  <mergeCells count="1">
    <mergeCell ref="I1:K5"/>
  </mergeCells>
  <pageMargins left="0.7" right="0.7" top="0.78740157499999996" bottom="0.78740157499999996" header="0.3" footer="0.3"/>
  <pageSetup paperSize="8"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9BE2E-BC84-4C05-998C-01C50B72BCCE}">
  <sheetPr>
    <tabColor rgb="FF003145"/>
    <pageSetUpPr fitToPage="1"/>
  </sheetPr>
  <dimension ref="A1:O133"/>
  <sheetViews>
    <sheetView zoomScale="80" zoomScaleNormal="80" workbookViewId="0">
      <selection activeCell="F27" sqref="F27"/>
    </sheetView>
  </sheetViews>
  <sheetFormatPr defaultColWidth="11.42578125" defaultRowHeight="15" customHeight="1"/>
  <cols>
    <col min="1" max="1" width="38.7109375" style="3" customWidth="1"/>
    <col min="2" max="2" width="25.7109375" style="3" customWidth="1"/>
    <col min="3" max="3" width="34" style="3" customWidth="1"/>
    <col min="4" max="4" width="30.7109375" style="3" customWidth="1"/>
    <col min="5" max="5" width="31.140625" style="3" customWidth="1"/>
    <col min="6" max="6" width="32.28515625" style="3" customWidth="1"/>
    <col min="7" max="7" width="34.5703125" style="3" customWidth="1"/>
    <col min="8" max="8" width="30.140625" style="3" customWidth="1"/>
    <col min="9" max="9" width="30.28515625" customWidth="1"/>
    <col min="10" max="11" width="20.7109375" style="3" customWidth="1"/>
    <col min="12" max="12" width="1.7109375" style="3" customWidth="1"/>
    <col min="13" max="14" width="20.7109375" style="3" customWidth="1"/>
    <col min="15" max="16384" width="11.42578125" style="3"/>
  </cols>
  <sheetData>
    <row r="1" spans="1:14" ht="18" customHeight="1">
      <c r="A1" s="16"/>
      <c r="B1" s="16"/>
      <c r="C1" s="16"/>
      <c r="D1" s="16"/>
      <c r="E1" s="18"/>
      <c r="F1" s="18"/>
      <c r="G1" s="16"/>
      <c r="H1" s="16"/>
      <c r="I1" s="199"/>
      <c r="J1" s="199"/>
      <c r="K1" s="199"/>
      <c r="L1" s="199"/>
      <c r="M1" s="199"/>
      <c r="N1" s="199"/>
    </row>
    <row r="2" spans="1:14" ht="15" customHeight="1">
      <c r="A2" s="16"/>
      <c r="B2" s="16"/>
      <c r="C2" s="16"/>
      <c r="D2" s="18"/>
      <c r="E2" s="18"/>
      <c r="F2" s="18"/>
      <c r="G2" s="16"/>
      <c r="H2" s="16"/>
      <c r="I2" s="199"/>
      <c r="J2" s="199"/>
      <c r="K2" s="199"/>
      <c r="L2" s="199"/>
      <c r="M2" s="199"/>
      <c r="N2" s="199"/>
    </row>
    <row r="3" spans="1:14" ht="15" customHeight="1">
      <c r="A3" s="16"/>
      <c r="B3" s="16"/>
      <c r="C3" s="16"/>
      <c r="D3" s="18"/>
      <c r="E3" s="18"/>
      <c r="F3" s="18"/>
      <c r="G3" s="17" t="s">
        <v>4</v>
      </c>
      <c r="H3" s="17"/>
      <c r="I3" s="199"/>
      <c r="J3" s="199"/>
      <c r="K3" s="199"/>
      <c r="L3" s="199"/>
      <c r="M3" s="199"/>
      <c r="N3" s="199"/>
    </row>
    <row r="4" spans="1:14" ht="15" customHeight="1">
      <c r="A4" s="16"/>
      <c r="B4" s="16"/>
      <c r="C4" s="16"/>
      <c r="D4" s="18"/>
      <c r="E4" s="18"/>
      <c r="F4" s="18"/>
      <c r="G4" s="16"/>
      <c r="H4" s="16"/>
      <c r="I4" s="199"/>
      <c r="J4" s="199"/>
      <c r="K4" s="199"/>
      <c r="L4" s="199"/>
      <c r="M4" s="199"/>
      <c r="N4" s="199"/>
    </row>
    <row r="5" spans="1:14" ht="15" customHeight="1">
      <c r="A5" s="16"/>
      <c r="B5" s="16"/>
      <c r="C5" s="16"/>
      <c r="D5" s="16"/>
      <c r="E5" s="18"/>
      <c r="F5" s="18"/>
      <c r="G5" s="16"/>
      <c r="H5" s="16"/>
      <c r="I5" s="199"/>
      <c r="J5" s="199"/>
      <c r="K5" s="199"/>
      <c r="L5" s="199"/>
      <c r="M5" s="199"/>
      <c r="N5" s="199"/>
    </row>
    <row r="6" spans="1:14" ht="15" customHeight="1">
      <c r="J6" s="15"/>
      <c r="K6" s="15"/>
      <c r="L6" s="15"/>
      <c r="M6" s="15"/>
      <c r="N6" s="15"/>
    </row>
    <row r="7" spans="1:14" ht="15" customHeight="1">
      <c r="A7" s="198" t="s">
        <v>184</v>
      </c>
      <c r="B7" s="192"/>
      <c r="I7" s="3"/>
      <c r="J7" s="15"/>
      <c r="K7" s="15"/>
      <c r="L7" s="15"/>
      <c r="M7" s="15"/>
      <c r="N7" s="15"/>
    </row>
    <row r="8" spans="1:14" ht="15" customHeight="1">
      <c r="A8" s="200"/>
      <c r="B8" s="217" t="s">
        <v>198</v>
      </c>
      <c r="C8" s="217" t="s">
        <v>199</v>
      </c>
      <c r="D8" s="217" t="s">
        <v>200</v>
      </c>
      <c r="E8" s="217" t="s">
        <v>201</v>
      </c>
      <c r="I8" s="3"/>
      <c r="J8" s="15"/>
      <c r="K8" s="15"/>
      <c r="L8" s="15"/>
      <c r="M8" s="15"/>
      <c r="N8" s="15"/>
    </row>
    <row r="9" spans="1:14" ht="15" customHeight="1">
      <c r="A9" s="203" t="s">
        <v>195</v>
      </c>
      <c r="B9" s="218">
        <v>35000000</v>
      </c>
      <c r="C9" s="218">
        <v>30000000</v>
      </c>
      <c r="D9" s="218">
        <v>20000000</v>
      </c>
      <c r="E9" s="218">
        <v>15000000</v>
      </c>
      <c r="F9" s="99" t="s">
        <v>226</v>
      </c>
      <c r="I9" s="3"/>
      <c r="J9" s="15"/>
      <c r="K9" s="15"/>
      <c r="L9" s="15"/>
      <c r="M9" s="15"/>
      <c r="N9" s="15"/>
    </row>
    <row r="10" spans="1:14" ht="15" customHeight="1">
      <c r="A10" s="200" t="s">
        <v>181</v>
      </c>
      <c r="B10" s="192">
        <f ca="1">B9/$C$34</f>
        <v>215.92542552732073</v>
      </c>
      <c r="C10" s="192">
        <f ca="1">C9/$C$34</f>
        <v>185.07893616627493</v>
      </c>
      <c r="D10" s="192">
        <f ca="1">D9/$C$34</f>
        <v>123.38595744418328</v>
      </c>
      <c r="E10" s="192">
        <f ca="1">E9/$C$34</f>
        <v>92.539468083137464</v>
      </c>
      <c r="I10" s="3"/>
      <c r="J10" s="15"/>
      <c r="K10" s="15"/>
      <c r="L10" s="15"/>
      <c r="M10" s="15"/>
      <c r="N10" s="15"/>
    </row>
    <row r="11" spans="1:14" ht="15" customHeight="1">
      <c r="A11" s="202" t="s">
        <v>216</v>
      </c>
      <c r="B11" s="105">
        <f ca="1">1-B10/$B$31</f>
        <v>0.28812664668561017</v>
      </c>
      <c r="C11" s="105">
        <f ca="1">1-C10/$B$31</f>
        <v>0.38982284001623724</v>
      </c>
      <c r="D11" s="105">
        <f ca="1">1-D10/$B$31</f>
        <v>0.59321522667749149</v>
      </c>
      <c r="E11" s="105">
        <f ca="1">1-E10/$B$31</f>
        <v>0.69491142000811856</v>
      </c>
      <c r="I11" s="3"/>
      <c r="J11" s="15"/>
      <c r="K11" s="15"/>
      <c r="L11" s="15"/>
      <c r="M11" s="15"/>
      <c r="N11" s="15"/>
    </row>
    <row r="12" spans="1:14" ht="15" customHeight="1">
      <c r="A12" s="200" t="s">
        <v>182</v>
      </c>
      <c r="B12" s="193">
        <v>5000000</v>
      </c>
      <c r="C12" s="193">
        <v>5000000</v>
      </c>
      <c r="D12" s="193">
        <v>5000000</v>
      </c>
      <c r="E12" s="193">
        <v>5000000</v>
      </c>
      <c r="F12" s="99" t="s">
        <v>223</v>
      </c>
      <c r="I12" s="3"/>
      <c r="J12" s="15"/>
      <c r="K12" s="15"/>
      <c r="L12" s="15"/>
      <c r="M12" s="15"/>
      <c r="N12" s="15"/>
    </row>
    <row r="13" spans="1:14" ht="15" customHeight="1">
      <c r="A13" s="201" t="s">
        <v>185</v>
      </c>
      <c r="B13" s="193">
        <f ca="1">ROUND(B14*B10,2)</f>
        <v>4999969.1500000004</v>
      </c>
      <c r="C13" s="193">
        <f ca="1">ROUND(C14*C10,2)</f>
        <v>4999907.46</v>
      </c>
      <c r="D13" s="193">
        <f ca="1">ROUND(D14*D10,2)</f>
        <v>4999969.1500000004</v>
      </c>
      <c r="E13" s="193">
        <f ca="1">ROUND(E14*E10,2)</f>
        <v>5000000</v>
      </c>
      <c r="I13" s="3"/>
      <c r="J13" s="15"/>
      <c r="K13" s="15"/>
      <c r="L13" s="15"/>
      <c r="M13" s="15"/>
      <c r="N13" s="15"/>
    </row>
    <row r="14" spans="1:14" ht="15" customHeight="1">
      <c r="A14" s="237" t="s">
        <v>183</v>
      </c>
      <c r="B14" s="108">
        <f ca="1">ROUNDDOWN($B$12/B10,0)</f>
        <v>23156</v>
      </c>
      <c r="C14" s="108">
        <f ca="1">ROUNDDOWN($B$12/C10,0)</f>
        <v>27015</v>
      </c>
      <c r="D14" s="108">
        <f ca="1">ROUNDDOWN($B$12/D10,0)</f>
        <v>40523</v>
      </c>
      <c r="E14" s="108">
        <f ca="1">ROUNDDOWN($B$12/E10,0)</f>
        <v>54031</v>
      </c>
      <c r="I14" s="3"/>
      <c r="J14" s="15"/>
      <c r="K14" s="15"/>
      <c r="L14" s="15"/>
      <c r="M14" s="15"/>
      <c r="N14" s="15"/>
    </row>
    <row r="15" spans="1:14" ht="15" customHeight="1">
      <c r="A15" s="202"/>
      <c r="B15" s="105"/>
      <c r="C15" s="105"/>
      <c r="D15" s="105"/>
      <c r="E15" s="105"/>
      <c r="I15" s="3"/>
      <c r="J15" s="15"/>
      <c r="K15" s="15"/>
      <c r="L15" s="15"/>
      <c r="M15" s="15"/>
      <c r="N15" s="15"/>
    </row>
    <row r="16" spans="1:14" ht="15" customHeight="1">
      <c r="A16" s="198" t="s">
        <v>196</v>
      </c>
      <c r="I16" s="3"/>
      <c r="J16" s="15"/>
      <c r="K16" s="15"/>
      <c r="L16" s="15"/>
      <c r="M16" s="15"/>
      <c r="N16" s="15"/>
    </row>
    <row r="17" spans="1:14" ht="15" customHeight="1">
      <c r="A17" s="238" t="s">
        <v>188</v>
      </c>
      <c r="B17" s="216" t="str">
        <f t="shared" ref="B17:B22" ca="1" si="0">IF($B$10&lt;B28, "YES", "NO")</f>
        <v>NO</v>
      </c>
      <c r="C17" s="216" t="str">
        <f t="shared" ref="C17:C22" ca="1" si="1">IF($C$10&lt;B28, "YES", "NO")</f>
        <v>NO</v>
      </c>
      <c r="D17" s="216" t="str">
        <f t="shared" ref="D17:D22" ca="1" si="2">IF($D$10&lt;B28, "YES", "NO")</f>
        <v>NO</v>
      </c>
      <c r="E17" s="216" t="str">
        <f t="shared" ref="E17:E22" ca="1" si="3">IF($E$10&lt;B28, "YES", "NO")</f>
        <v>YES</v>
      </c>
      <c r="F17" s="99" t="s">
        <v>225</v>
      </c>
      <c r="I17" s="3"/>
      <c r="J17" s="15"/>
      <c r="K17" s="15"/>
      <c r="L17" s="15"/>
      <c r="M17" s="15"/>
      <c r="N17" s="15"/>
    </row>
    <row r="18" spans="1:14" ht="15" customHeight="1">
      <c r="A18" s="238" t="s">
        <v>189</v>
      </c>
      <c r="B18" s="216" t="str">
        <f t="shared" ca="1" si="0"/>
        <v>NO</v>
      </c>
      <c r="C18" s="216" t="str">
        <f t="shared" ca="1" si="1"/>
        <v>NO</v>
      </c>
      <c r="D18" s="216" t="str">
        <f t="shared" ca="1" si="2"/>
        <v>YES</v>
      </c>
      <c r="E18" s="216" t="str">
        <f t="shared" ca="1" si="3"/>
        <v>YES</v>
      </c>
      <c r="I18" s="3"/>
      <c r="J18" s="15"/>
      <c r="K18" s="15"/>
      <c r="L18" s="15"/>
      <c r="M18" s="15"/>
      <c r="N18" s="15"/>
    </row>
    <row r="19" spans="1:14" ht="15" customHeight="1">
      <c r="A19" s="238" t="s">
        <v>190</v>
      </c>
      <c r="B19" s="216" t="str">
        <f t="shared" ca="1" si="0"/>
        <v>NO</v>
      </c>
      <c r="C19" s="216" t="str">
        <f t="shared" ca="1" si="1"/>
        <v>YES</v>
      </c>
      <c r="D19" s="216" t="str">
        <f t="shared" ca="1" si="2"/>
        <v>YES</v>
      </c>
      <c r="E19" s="216" t="str">
        <f t="shared" ca="1" si="3"/>
        <v>YES</v>
      </c>
      <c r="I19" s="3"/>
      <c r="J19" s="15"/>
      <c r="K19" s="15"/>
      <c r="L19" s="15"/>
      <c r="M19" s="15"/>
      <c r="N19" s="15"/>
    </row>
    <row r="20" spans="1:14" ht="15" customHeight="1">
      <c r="A20" s="238" t="s">
        <v>191</v>
      </c>
      <c r="B20" s="216" t="str">
        <f t="shared" ca="1" si="0"/>
        <v>YES</v>
      </c>
      <c r="C20" s="216" t="str">
        <f t="shared" ca="1" si="1"/>
        <v>YES</v>
      </c>
      <c r="D20" s="216" t="str">
        <f t="shared" ca="1" si="2"/>
        <v>YES</v>
      </c>
      <c r="E20" s="216" t="str">
        <f t="shared" ca="1" si="3"/>
        <v>YES</v>
      </c>
      <c r="I20" s="3"/>
      <c r="J20" s="15"/>
      <c r="K20" s="15"/>
      <c r="L20" s="15"/>
      <c r="M20" s="15"/>
      <c r="N20" s="15"/>
    </row>
    <row r="21" spans="1:14" ht="15" customHeight="1">
      <c r="A21" s="238" t="s">
        <v>192</v>
      </c>
      <c r="B21" s="216" t="str">
        <f t="shared" ca="1" si="0"/>
        <v>YES</v>
      </c>
      <c r="C21" s="216" t="str">
        <f t="shared" ca="1" si="1"/>
        <v>YES</v>
      </c>
      <c r="D21" s="216" t="str">
        <f t="shared" ca="1" si="2"/>
        <v>YES</v>
      </c>
      <c r="E21" s="216" t="str">
        <f t="shared" ca="1" si="3"/>
        <v>YES</v>
      </c>
      <c r="I21" s="3"/>
      <c r="J21" s="15"/>
      <c r="K21" s="15"/>
      <c r="L21" s="15"/>
      <c r="M21" s="15"/>
      <c r="N21" s="15"/>
    </row>
    <row r="22" spans="1:14" ht="15" customHeight="1">
      <c r="A22" s="238" t="s">
        <v>193</v>
      </c>
      <c r="B22" s="216" t="str">
        <f t="shared" ca="1" si="0"/>
        <v>YES</v>
      </c>
      <c r="C22" s="216" t="str">
        <f t="shared" ca="1" si="1"/>
        <v>YES</v>
      </c>
      <c r="D22" s="216" t="str">
        <f t="shared" ca="1" si="2"/>
        <v>YES</v>
      </c>
      <c r="E22" s="216" t="str">
        <f t="shared" ca="1" si="3"/>
        <v>YES</v>
      </c>
      <c r="I22" s="3"/>
      <c r="J22" s="15"/>
      <c r="K22" s="15"/>
      <c r="L22" s="15"/>
      <c r="M22" s="15"/>
      <c r="N22" s="15"/>
    </row>
    <row r="23" spans="1:14" ht="15" customHeight="1">
      <c r="A23" s="194"/>
      <c r="B23" s="186"/>
      <c r="C23" s="186"/>
      <c r="D23" s="186"/>
      <c r="E23" s="186"/>
      <c r="I23" s="3"/>
      <c r="J23" s="15"/>
      <c r="K23" s="15"/>
      <c r="L23" s="15"/>
      <c r="M23" s="15"/>
      <c r="N23" s="15"/>
    </row>
    <row r="24" spans="1:14" ht="15" customHeight="1">
      <c r="A24" s="204" t="s">
        <v>221</v>
      </c>
      <c r="B24" s="205"/>
      <c r="C24" s="205"/>
      <c r="D24" s="206"/>
      <c r="E24" s="186"/>
      <c r="I24" s="3"/>
      <c r="J24" s="15"/>
      <c r="K24" s="15"/>
      <c r="L24" s="15"/>
      <c r="M24" s="15"/>
      <c r="N24" s="15"/>
    </row>
    <row r="25" spans="1:14" ht="15" customHeight="1">
      <c r="A25" s="45"/>
      <c r="B25" s="220" t="s">
        <v>214</v>
      </c>
      <c r="C25" s="220" t="s">
        <v>194</v>
      </c>
      <c r="D25" s="221" t="s">
        <v>197</v>
      </c>
      <c r="E25" s="186"/>
      <c r="I25" s="3"/>
      <c r="J25" s="15"/>
      <c r="K25" s="15"/>
      <c r="L25" s="15"/>
      <c r="M25" s="15"/>
      <c r="N25" s="15"/>
    </row>
    <row r="26" spans="1:14" ht="15" customHeight="1">
      <c r="A26" s="207" t="s">
        <v>187</v>
      </c>
      <c r="C26" s="208">
        <f ca="1">B124</f>
        <v>16409</v>
      </c>
      <c r="D26" s="209"/>
      <c r="E26" s="186"/>
      <c r="I26" s="3"/>
      <c r="J26" s="15"/>
      <c r="K26" s="15"/>
      <c r="L26" s="15"/>
      <c r="M26" s="15"/>
      <c r="N26" s="15"/>
    </row>
    <row r="27" spans="1:14" ht="15" customHeight="1">
      <c r="A27" s="207" t="s">
        <v>25</v>
      </c>
      <c r="C27" s="208">
        <f>C124</f>
        <v>45000</v>
      </c>
      <c r="D27" s="209"/>
      <c r="E27" s="186"/>
      <c r="I27" s="3"/>
      <c r="J27" s="15"/>
      <c r="K27" s="15"/>
      <c r="L27" s="15"/>
      <c r="M27" s="15"/>
      <c r="N27" s="15"/>
    </row>
    <row r="28" spans="1:14" ht="15" customHeight="1">
      <c r="A28" s="207" t="s">
        <v>188</v>
      </c>
      <c r="B28" s="210">
        <v>100</v>
      </c>
      <c r="C28" s="208">
        <f>D124</f>
        <v>3000</v>
      </c>
      <c r="D28" s="211">
        <f>B28*D124</f>
        <v>300000</v>
      </c>
      <c r="E28" s="239"/>
      <c r="I28" s="3"/>
      <c r="J28" s="15"/>
      <c r="K28" s="15"/>
      <c r="L28" s="15"/>
      <c r="M28" s="15"/>
      <c r="N28" s="15"/>
    </row>
    <row r="29" spans="1:14" ht="15" customHeight="1">
      <c r="A29" s="207" t="s">
        <v>189</v>
      </c>
      <c r="B29" s="210">
        <v>150</v>
      </c>
      <c r="C29" s="208">
        <f>E124</f>
        <v>34000</v>
      </c>
      <c r="D29" s="211">
        <f>B29*E124</f>
        <v>5100000</v>
      </c>
      <c r="E29" s="240"/>
      <c r="I29" s="3"/>
      <c r="J29" s="15"/>
      <c r="K29" s="15"/>
      <c r="L29" s="15"/>
      <c r="M29" s="15"/>
      <c r="N29" s="15"/>
    </row>
    <row r="30" spans="1:14" ht="15" customHeight="1">
      <c r="A30" s="207" t="s">
        <v>190</v>
      </c>
      <c r="B30" s="210">
        <v>200</v>
      </c>
      <c r="C30" s="208">
        <f>F124</f>
        <v>14000</v>
      </c>
      <c r="D30" s="211">
        <f>B30*F124</f>
        <v>2800000</v>
      </c>
      <c r="E30" s="186"/>
      <c r="I30" s="3"/>
      <c r="J30" s="15"/>
      <c r="K30" s="15"/>
      <c r="L30" s="15"/>
      <c r="M30" s="15"/>
      <c r="N30" s="15"/>
    </row>
    <row r="31" spans="1:14" ht="15" customHeight="1">
      <c r="A31" s="207" t="s">
        <v>191</v>
      </c>
      <c r="B31" s="192">
        <f ca="1">'Subscriptions - Series C'!C12</f>
        <v>303.32</v>
      </c>
      <c r="C31" s="208">
        <f ca="1">'Subscriptions - Series C'!G31</f>
        <v>24722</v>
      </c>
      <c r="D31" s="211">
        <f ca="1">'Subscriptions - Series C'!G31*B31</f>
        <v>7498677.04</v>
      </c>
      <c r="E31" s="186"/>
      <c r="I31" s="3"/>
      <c r="J31" s="15"/>
      <c r="K31" s="15"/>
      <c r="L31" s="15"/>
      <c r="M31" s="15"/>
      <c r="N31" s="15"/>
    </row>
    <row r="32" spans="1:14" ht="15" customHeight="1">
      <c r="A32" s="207" t="s">
        <v>192</v>
      </c>
      <c r="B32" s="192">
        <f ca="1">Warrant!C9</f>
        <v>257.822</v>
      </c>
      <c r="C32" s="208">
        <f ca="1">Warrant!E17</f>
        <v>1086</v>
      </c>
      <c r="D32" s="211">
        <f ca="1">B32*Warrant!E17</f>
        <v>279994.69199999998</v>
      </c>
      <c r="E32" s="186"/>
      <c r="I32" s="3"/>
      <c r="J32" s="15"/>
      <c r="K32" s="15"/>
      <c r="L32" s="15"/>
      <c r="M32" s="15"/>
      <c r="N32" s="15"/>
    </row>
    <row r="33" spans="1:14" ht="15" customHeight="1">
      <c r="A33" s="207" t="s">
        <v>193</v>
      </c>
      <c r="B33" s="192">
        <f ca="1">'CLA Conversion'!C16</f>
        <v>230.48150000000001</v>
      </c>
      <c r="C33" s="208">
        <f ca="1">'CLA Conversion'!M28</f>
        <v>23876</v>
      </c>
      <c r="D33" s="211">
        <f ca="1">B33*'CLA Conversion'!M28</f>
        <v>5502976.2940000007</v>
      </c>
      <c r="E33" s="186"/>
      <c r="I33" s="3"/>
      <c r="J33" s="15"/>
      <c r="K33" s="15"/>
      <c r="L33" s="15"/>
      <c r="M33" s="15"/>
      <c r="N33" s="15"/>
    </row>
    <row r="34" spans="1:14" ht="14.25" customHeight="1" thickBot="1">
      <c r="A34" s="213"/>
      <c r="B34" s="214"/>
      <c r="C34" s="32">
        <f ca="1">SUM(C26:C33)</f>
        <v>162093</v>
      </c>
      <c r="D34" s="212">
        <f ca="1">SUM(D26:D33)</f>
        <v>21481648.026000001</v>
      </c>
      <c r="E34" s="186"/>
      <c r="I34" s="3"/>
      <c r="J34" s="15"/>
      <c r="K34" s="15"/>
      <c r="L34" s="15"/>
      <c r="M34" s="15"/>
      <c r="N34" s="15"/>
    </row>
    <row r="35" spans="1:14" ht="15" customHeight="1">
      <c r="A35" s="45"/>
      <c r="C35" s="215"/>
      <c r="D35" s="186"/>
      <c r="E35" s="186"/>
      <c r="I35" s="3"/>
      <c r="J35" s="15"/>
      <c r="K35" s="15"/>
      <c r="L35" s="15"/>
      <c r="M35" s="15"/>
      <c r="N35" s="15"/>
    </row>
    <row r="36" spans="1:14" ht="15" customHeight="1">
      <c r="A36" s="15" t="s">
        <v>222</v>
      </c>
      <c r="F36" s="99" t="s">
        <v>224</v>
      </c>
      <c r="I36" s="3"/>
      <c r="J36" s="15"/>
      <c r="K36" s="15"/>
      <c r="L36" s="15"/>
      <c r="M36" s="15"/>
      <c r="N36" s="15"/>
    </row>
    <row r="37" spans="1:14" ht="15" customHeight="1">
      <c r="B37" s="283" t="s">
        <v>244</v>
      </c>
      <c r="C37" s="231" t="s">
        <v>230</v>
      </c>
      <c r="I37" s="3"/>
      <c r="J37" s="15"/>
      <c r="K37" s="15"/>
      <c r="L37" s="15"/>
      <c r="M37" s="15"/>
      <c r="N37" s="15"/>
    </row>
    <row r="38" spans="1:14" ht="15" customHeight="1">
      <c r="B38" s="283"/>
      <c r="C38" s="232" t="s">
        <v>231</v>
      </c>
      <c r="F38" s="234"/>
      <c r="G38" s="235"/>
      <c r="I38" s="3"/>
      <c r="J38" s="15"/>
      <c r="K38" s="15"/>
      <c r="L38" s="15"/>
      <c r="M38" s="15"/>
      <c r="N38" s="15"/>
    </row>
    <row r="39" spans="1:14" ht="15" customHeight="1">
      <c r="B39" s="216"/>
      <c r="C39" s="232"/>
      <c r="F39" s="234"/>
      <c r="G39" s="235"/>
      <c r="I39" s="3"/>
      <c r="J39" s="15"/>
      <c r="K39" s="15"/>
      <c r="L39" s="15"/>
      <c r="M39" s="15"/>
      <c r="N39" s="15"/>
    </row>
    <row r="40" spans="1:14" ht="15" customHeight="1">
      <c r="B40" s="284" t="s">
        <v>202</v>
      </c>
      <c r="C40" s="232" t="s">
        <v>251</v>
      </c>
      <c r="F40" s="235"/>
      <c r="G40" s="235"/>
      <c r="I40" s="3"/>
      <c r="J40" s="15"/>
      <c r="K40" s="15"/>
      <c r="L40" s="15"/>
      <c r="M40" s="15"/>
      <c r="N40" s="15"/>
    </row>
    <row r="41" spans="1:14" ht="15" customHeight="1">
      <c r="B41" s="284"/>
      <c r="C41" s="232" t="s">
        <v>252</v>
      </c>
      <c r="F41" s="235"/>
      <c r="G41" s="235"/>
      <c r="I41" s="3"/>
      <c r="J41" s="15"/>
      <c r="K41" s="15"/>
      <c r="L41" s="15"/>
      <c r="M41" s="15"/>
      <c r="N41" s="15"/>
    </row>
    <row r="42" spans="1:14" ht="15" customHeight="1">
      <c r="B42" s="225"/>
      <c r="C42" s="232"/>
      <c r="F42" s="236"/>
      <c r="G42" s="235"/>
      <c r="I42" s="3"/>
      <c r="J42" s="15"/>
      <c r="K42" s="15"/>
      <c r="L42" s="15"/>
      <c r="M42" s="15"/>
      <c r="N42" s="15"/>
    </row>
    <row r="43" spans="1:14" ht="15" customHeight="1">
      <c r="A43" s="233" t="s">
        <v>240</v>
      </c>
      <c r="B43" s="230" t="s">
        <v>241</v>
      </c>
      <c r="F43" s="236"/>
      <c r="G43" s="235"/>
      <c r="I43" s="3"/>
      <c r="J43" s="15"/>
      <c r="K43" s="15"/>
      <c r="L43" s="15"/>
      <c r="M43" s="15"/>
      <c r="N43" s="15"/>
    </row>
    <row r="44" spans="1:14" ht="15" customHeight="1">
      <c r="A44" s="233" t="s">
        <v>246</v>
      </c>
      <c r="B44" s="262" t="s">
        <v>249</v>
      </c>
      <c r="F44" s="236"/>
      <c r="G44" s="235"/>
      <c r="I44" s="3"/>
      <c r="J44" s="15"/>
      <c r="K44" s="15"/>
      <c r="L44" s="15"/>
      <c r="M44" s="15"/>
      <c r="N44" s="15"/>
    </row>
    <row r="45" spans="1:14" ht="15" customHeight="1">
      <c r="A45" s="233" t="s">
        <v>232</v>
      </c>
      <c r="B45" s="230" t="s">
        <v>237</v>
      </c>
      <c r="F45" s="236"/>
      <c r="G45" s="235"/>
      <c r="I45" s="3"/>
      <c r="J45" s="15"/>
      <c r="K45" s="15"/>
      <c r="L45" s="15"/>
      <c r="M45" s="15"/>
      <c r="N45" s="15"/>
    </row>
    <row r="46" spans="1:14" ht="15" customHeight="1">
      <c r="A46" s="233" t="s">
        <v>234</v>
      </c>
      <c r="B46" s="230" t="s">
        <v>238</v>
      </c>
      <c r="F46" s="236"/>
      <c r="G46" s="235"/>
      <c r="I46" s="3"/>
      <c r="J46" s="15"/>
      <c r="K46" s="15"/>
      <c r="L46" s="15"/>
      <c r="M46" s="15"/>
      <c r="N46" s="15"/>
    </row>
    <row r="47" spans="1:14" ht="15" customHeight="1">
      <c r="A47" s="233" t="s">
        <v>243</v>
      </c>
      <c r="B47" s="262" t="s">
        <v>250</v>
      </c>
      <c r="F47" s="236"/>
      <c r="G47" s="235"/>
      <c r="I47" s="3"/>
      <c r="J47" s="15"/>
      <c r="K47" s="15"/>
      <c r="L47" s="15"/>
      <c r="M47" s="15"/>
      <c r="N47" s="15"/>
    </row>
    <row r="48" spans="1:14" ht="15" customHeight="1">
      <c r="A48" s="233" t="s">
        <v>233</v>
      </c>
      <c r="B48" s="230" t="s">
        <v>236</v>
      </c>
      <c r="F48" s="236"/>
      <c r="G48" s="235"/>
      <c r="I48" s="3"/>
      <c r="J48" s="15"/>
      <c r="K48" s="15"/>
      <c r="L48" s="15"/>
      <c r="M48" s="15"/>
      <c r="N48" s="15"/>
    </row>
    <row r="49" spans="1:14" ht="15" customHeight="1">
      <c r="A49" s="233" t="s">
        <v>235</v>
      </c>
      <c r="B49" s="230" t="s">
        <v>239</v>
      </c>
      <c r="I49" s="3"/>
      <c r="J49" s="15"/>
      <c r="K49" s="15"/>
      <c r="L49" s="15"/>
      <c r="M49" s="15"/>
      <c r="N49" s="15"/>
    </row>
    <row r="50" spans="1:14" ht="15" customHeight="1">
      <c r="A50" s="233" t="s">
        <v>245</v>
      </c>
      <c r="B50" s="230" t="s">
        <v>242</v>
      </c>
      <c r="I50" s="3"/>
      <c r="J50" s="15"/>
      <c r="K50" s="15"/>
      <c r="L50" s="15"/>
      <c r="M50" s="15"/>
      <c r="N50" s="15"/>
    </row>
    <row r="51" spans="1:14" ht="15" customHeight="1">
      <c r="I51" s="3"/>
      <c r="J51" s="15"/>
      <c r="K51" s="15"/>
      <c r="L51" s="15"/>
      <c r="M51" s="15"/>
      <c r="N51" s="15"/>
    </row>
    <row r="52" spans="1:14" ht="16.5" customHeight="1">
      <c r="A52" s="286" t="s">
        <v>248</v>
      </c>
      <c r="B52" s="287"/>
      <c r="C52" s="287"/>
      <c r="D52" s="287"/>
      <c r="E52" s="287"/>
      <c r="F52" s="287"/>
      <c r="G52" s="287"/>
      <c r="H52" s="288"/>
      <c r="I52" s="3"/>
      <c r="J52" s="15"/>
      <c r="K52" s="15"/>
      <c r="L52" s="15"/>
      <c r="M52" s="15"/>
      <c r="N52" s="15"/>
    </row>
    <row r="53" spans="1:14" ht="34.5" customHeight="1">
      <c r="A53" s="224"/>
      <c r="B53" s="244" t="s">
        <v>215</v>
      </c>
      <c r="C53" s="244" t="s">
        <v>217</v>
      </c>
      <c r="D53" s="244" t="s">
        <v>218</v>
      </c>
      <c r="E53" s="244" t="s">
        <v>219</v>
      </c>
      <c r="F53" s="245" t="s">
        <v>192</v>
      </c>
      <c r="G53" s="244" t="s">
        <v>193</v>
      </c>
      <c r="H53" s="223" t="s">
        <v>220</v>
      </c>
      <c r="I53" s="3"/>
      <c r="J53" s="15"/>
      <c r="K53" s="15"/>
      <c r="L53" s="15"/>
      <c r="M53" s="15"/>
      <c r="N53" s="15"/>
    </row>
    <row r="54" spans="1:14" ht="12.75">
      <c r="A54" s="246" t="s">
        <v>232</v>
      </c>
      <c r="B54" s="247">
        <f ca="1">$C$34+$E$14</f>
        <v>216124</v>
      </c>
      <c r="C54" s="247">
        <f t="shared" ref="C54:G54" ca="1" si="4">$C$34+$E$14</f>
        <v>216124</v>
      </c>
      <c r="D54" s="247">
        <f t="shared" ca="1" si="4"/>
        <v>216124</v>
      </c>
      <c r="E54" s="247">
        <f t="shared" ca="1" si="4"/>
        <v>216124</v>
      </c>
      <c r="F54" s="247">
        <f t="shared" ca="1" si="4"/>
        <v>216124</v>
      </c>
      <c r="G54" s="247">
        <f t="shared" ca="1" si="4"/>
        <v>216124</v>
      </c>
      <c r="H54" s="223"/>
      <c r="I54" s="3"/>
      <c r="J54" s="15"/>
      <c r="K54" s="15"/>
      <c r="L54" s="15"/>
      <c r="M54" s="15"/>
      <c r="N54" s="15"/>
    </row>
    <row r="55" spans="1:14" ht="12.75">
      <c r="A55" s="246" t="s">
        <v>234</v>
      </c>
      <c r="B55" s="247">
        <f t="shared" ref="B55:G55" ca="1" si="5">$E$14</f>
        <v>54031</v>
      </c>
      <c r="C55" s="247">
        <f t="shared" ca="1" si="5"/>
        <v>54031</v>
      </c>
      <c r="D55" s="247">
        <f t="shared" ca="1" si="5"/>
        <v>54031</v>
      </c>
      <c r="E55" s="247">
        <f t="shared" ca="1" si="5"/>
        <v>54031</v>
      </c>
      <c r="F55" s="247">
        <f t="shared" ca="1" si="5"/>
        <v>54031</v>
      </c>
      <c r="G55" s="247">
        <f t="shared" ca="1" si="5"/>
        <v>54031</v>
      </c>
      <c r="H55" s="223"/>
      <c r="I55" s="3"/>
      <c r="J55" s="15"/>
      <c r="K55" s="15"/>
      <c r="L55" s="15"/>
      <c r="M55" s="15"/>
      <c r="N55" s="15"/>
    </row>
    <row r="56" spans="1:14" ht="12.75">
      <c r="A56" s="246" t="s">
        <v>243</v>
      </c>
      <c r="B56" s="247">
        <f>C28</f>
        <v>3000</v>
      </c>
      <c r="C56" s="247">
        <f>C29</f>
        <v>34000</v>
      </c>
      <c r="D56" s="247">
        <f>C30</f>
        <v>14000</v>
      </c>
      <c r="E56" s="247">
        <f ca="1">C31</f>
        <v>24722</v>
      </c>
      <c r="F56" s="248">
        <f ca="1">C32</f>
        <v>1086</v>
      </c>
      <c r="G56" s="247">
        <f ca="1">C33</f>
        <v>23876</v>
      </c>
      <c r="H56" s="223"/>
      <c r="I56" s="3"/>
      <c r="J56" s="15"/>
      <c r="K56" s="15"/>
      <c r="L56" s="15"/>
      <c r="M56" s="15"/>
      <c r="N56" s="15"/>
    </row>
    <row r="57" spans="1:14" ht="12.75">
      <c r="A57" s="246" t="s">
        <v>233</v>
      </c>
      <c r="B57" s="249">
        <f>$B28</f>
        <v>100</v>
      </c>
      <c r="C57" s="249">
        <f>$B29</f>
        <v>150</v>
      </c>
      <c r="D57" s="249">
        <f>$B30</f>
        <v>200</v>
      </c>
      <c r="E57" s="249">
        <f ca="1">$B31</f>
        <v>303.32</v>
      </c>
      <c r="F57" s="249">
        <f ca="1">$B32</f>
        <v>257.822</v>
      </c>
      <c r="G57" s="249">
        <f ca="1">$B33</f>
        <v>230.48150000000001</v>
      </c>
      <c r="H57" s="223"/>
      <c r="I57" s="3"/>
      <c r="J57" s="15"/>
      <c r="K57" s="15"/>
      <c r="L57" s="15"/>
      <c r="M57" s="15"/>
      <c r="N57" s="15"/>
    </row>
    <row r="58" spans="1:14" ht="12.75">
      <c r="A58" s="246" t="s">
        <v>235</v>
      </c>
      <c r="B58" s="249">
        <f t="shared" ref="B58:G58" ca="1" si="6">$E$10</f>
        <v>92.539468083137464</v>
      </c>
      <c r="C58" s="249">
        <f t="shared" ca="1" si="6"/>
        <v>92.539468083137464</v>
      </c>
      <c r="D58" s="249">
        <f t="shared" ca="1" si="6"/>
        <v>92.539468083137464</v>
      </c>
      <c r="E58" s="249">
        <f t="shared" ca="1" si="6"/>
        <v>92.539468083137464</v>
      </c>
      <c r="F58" s="249">
        <f t="shared" ca="1" si="6"/>
        <v>92.539468083137464</v>
      </c>
      <c r="G58" s="249">
        <f t="shared" ca="1" si="6"/>
        <v>92.539468083137464</v>
      </c>
      <c r="H58" s="223"/>
      <c r="I58" s="3"/>
      <c r="J58" s="15"/>
      <c r="K58" s="15"/>
      <c r="L58" s="15"/>
      <c r="M58" s="15"/>
      <c r="N58" s="15"/>
    </row>
    <row r="59" spans="1:14" ht="12.75">
      <c r="A59" s="246" t="s">
        <v>245</v>
      </c>
      <c r="B59" s="249">
        <v>1</v>
      </c>
      <c r="C59" s="249">
        <v>1</v>
      </c>
      <c r="D59" s="249">
        <v>1</v>
      </c>
      <c r="E59" s="249">
        <v>1</v>
      </c>
      <c r="F59" s="249">
        <v>1</v>
      </c>
      <c r="G59" s="249">
        <v>1</v>
      </c>
      <c r="H59" s="223"/>
      <c r="I59" s="3"/>
      <c r="J59" s="15"/>
      <c r="K59" s="15"/>
      <c r="L59" s="15"/>
      <c r="M59" s="15"/>
      <c r="N59" s="15"/>
    </row>
    <row r="60" spans="1:14" ht="12.75">
      <c r="A60" s="224"/>
      <c r="B60" s="244"/>
      <c r="C60" s="244"/>
      <c r="D60" s="244"/>
      <c r="E60" s="244"/>
      <c r="F60" s="245"/>
      <c r="G60" s="244"/>
      <c r="H60" s="223"/>
      <c r="I60" s="3"/>
      <c r="J60" s="15"/>
      <c r="K60" s="15"/>
      <c r="L60" s="15"/>
      <c r="M60" s="15"/>
      <c r="N60" s="15"/>
    </row>
    <row r="61" spans="1:14" ht="12.75">
      <c r="A61" s="246" t="s">
        <v>240</v>
      </c>
      <c r="B61" s="250">
        <f t="shared" ref="B61:G61" ca="1" si="7">ROUND((((B54*B57)+(B55*B58))/(B54+B55)),2)</f>
        <v>98.51</v>
      </c>
      <c r="C61" s="250">
        <f t="shared" ca="1" si="7"/>
        <v>138.51</v>
      </c>
      <c r="D61" s="250">
        <f t="shared" ca="1" si="7"/>
        <v>178.51</v>
      </c>
      <c r="E61" s="250">
        <f t="shared" ca="1" si="7"/>
        <v>261.16000000000003</v>
      </c>
      <c r="F61" s="250">
        <f t="shared" ca="1" si="7"/>
        <v>224.77</v>
      </c>
      <c r="G61" s="250">
        <f t="shared" ca="1" si="7"/>
        <v>202.89</v>
      </c>
      <c r="H61" s="223"/>
      <c r="I61" s="3"/>
      <c r="J61" s="15"/>
      <c r="K61" s="15"/>
      <c r="L61" s="15"/>
      <c r="M61" s="15"/>
      <c r="N61" s="15"/>
    </row>
    <row r="62" spans="1:14" ht="12.75">
      <c r="A62" s="246" t="s">
        <v>247</v>
      </c>
      <c r="B62" s="251">
        <f t="shared" ref="B62:G62" ca="1" si="8">ROUND(B56*((B57-B61)/(B61-B59)),0)</f>
        <v>46</v>
      </c>
      <c r="C62" s="251">
        <f t="shared" ca="1" si="8"/>
        <v>2841</v>
      </c>
      <c r="D62" s="251">
        <f t="shared" ca="1" si="8"/>
        <v>1695</v>
      </c>
      <c r="E62" s="251">
        <f t="shared" ca="1" si="8"/>
        <v>4006</v>
      </c>
      <c r="F62" s="251">
        <f t="shared" ca="1" si="8"/>
        <v>160</v>
      </c>
      <c r="G62" s="251">
        <f t="shared" ca="1" si="8"/>
        <v>3263</v>
      </c>
      <c r="H62" s="241">
        <f ca="1">SUM(B62:G62)</f>
        <v>12011</v>
      </c>
      <c r="I62" s="3"/>
      <c r="J62" s="15"/>
      <c r="K62" s="15"/>
      <c r="L62" s="15"/>
      <c r="M62" s="15"/>
      <c r="N62" s="15"/>
    </row>
    <row r="63" spans="1:14" ht="12.75">
      <c r="A63" s="252"/>
      <c r="B63" s="253"/>
      <c r="C63" s="253"/>
      <c r="D63" s="253"/>
      <c r="E63" s="253"/>
      <c r="F63" s="254"/>
      <c r="G63" s="253"/>
      <c r="H63" s="255"/>
      <c r="I63" s="3"/>
      <c r="J63" s="15"/>
      <c r="K63" s="15"/>
      <c r="L63" s="15"/>
      <c r="M63" s="15"/>
      <c r="N63" s="15"/>
    </row>
    <row r="64" spans="1:14" ht="16.5" customHeight="1">
      <c r="A64" s="236"/>
      <c r="B64" s="242"/>
      <c r="C64" s="242"/>
      <c r="D64" s="242"/>
      <c r="E64" s="242"/>
      <c r="F64" s="242"/>
      <c r="G64" s="242"/>
      <c r="H64" s="243"/>
      <c r="I64" s="3"/>
      <c r="J64" s="15"/>
      <c r="K64" s="15"/>
      <c r="L64" s="15"/>
      <c r="M64" s="15"/>
      <c r="N64" s="15"/>
    </row>
    <row r="65" spans="1:14" ht="16.5" customHeight="1">
      <c r="A65" s="236"/>
      <c r="B65" s="242"/>
      <c r="C65" s="242"/>
      <c r="D65" s="242"/>
      <c r="E65" s="242"/>
      <c r="F65" s="242"/>
      <c r="G65" s="242"/>
      <c r="H65" s="243"/>
      <c r="I65" s="3"/>
      <c r="J65" s="15"/>
      <c r="K65" s="15"/>
      <c r="L65" s="15"/>
      <c r="M65" s="15"/>
      <c r="N65" s="15"/>
    </row>
    <row r="66" spans="1:14" ht="16.5" customHeight="1">
      <c r="A66" s="236"/>
      <c r="B66" s="242"/>
      <c r="C66" s="242"/>
      <c r="D66" s="242"/>
      <c r="E66" s="242"/>
      <c r="F66" s="242"/>
      <c r="G66" s="242"/>
      <c r="H66" s="243"/>
      <c r="I66" s="3"/>
      <c r="J66" s="15"/>
      <c r="K66" s="15"/>
      <c r="L66" s="15"/>
      <c r="M66" s="15"/>
      <c r="N66" s="15"/>
    </row>
    <row r="67" spans="1:14" ht="16.5" customHeight="1">
      <c r="A67" s="286" t="s">
        <v>229</v>
      </c>
      <c r="B67" s="287"/>
      <c r="C67" s="287"/>
      <c r="D67" s="287"/>
      <c r="E67" s="287"/>
      <c r="F67" s="287"/>
      <c r="G67" s="287"/>
      <c r="H67" s="288"/>
      <c r="I67" s="3"/>
      <c r="J67" s="15"/>
      <c r="K67" s="15"/>
      <c r="L67" s="15"/>
      <c r="M67" s="15"/>
      <c r="N67" s="15"/>
    </row>
    <row r="68" spans="1:14" ht="16.5" customHeight="1">
      <c r="A68" s="256" t="s">
        <v>43</v>
      </c>
      <c r="B68" s="257"/>
      <c r="C68" s="257"/>
      <c r="D68" s="257"/>
      <c r="E68" s="257"/>
      <c r="F68" s="257"/>
      <c r="G68" s="258"/>
      <c r="H68" s="197"/>
      <c r="I68" s="3"/>
      <c r="J68" s="15"/>
      <c r="K68" s="15"/>
      <c r="L68" s="15"/>
      <c r="M68" s="15"/>
      <c r="N68" s="15"/>
    </row>
    <row r="69" spans="1:14" ht="16.5" customHeight="1">
      <c r="A69" s="45" t="s">
        <v>92</v>
      </c>
      <c r="B69" s="222">
        <f ca="1">ROUND(D102*($B$57-$B$61)/($B$61-$B$59),0)</f>
        <v>31</v>
      </c>
      <c r="C69" s="222">
        <f ca="1">ROUND(E102*($C$57-$C$61)/($C$61-$C$59),0)</f>
        <v>668</v>
      </c>
      <c r="D69" s="222"/>
      <c r="E69" s="222"/>
      <c r="F69" s="222"/>
      <c r="G69" s="260"/>
      <c r="H69" s="222">
        <f ca="1">SUM(B69:G69)</f>
        <v>699</v>
      </c>
      <c r="I69" s="3"/>
      <c r="J69" s="15"/>
      <c r="K69" s="15"/>
      <c r="L69" s="15"/>
      <c r="M69" s="15"/>
      <c r="N69" s="15"/>
    </row>
    <row r="70" spans="1:14" ht="16.5" customHeight="1">
      <c r="A70" s="45" t="s">
        <v>93</v>
      </c>
      <c r="B70" s="222">
        <f ca="1">ROUND(D103*($B$57-$B$61)/($B$61-$B$59),0)</f>
        <v>15</v>
      </c>
      <c r="C70" s="222">
        <f ca="1">ROUND(E103*($C$57-$C$61)/($C$61-$C$59),0)</f>
        <v>668</v>
      </c>
      <c r="D70" s="222">
        <f ca="1">ROUND(F103*($D$57-$D$61)/($D$61-$D$59),0)</f>
        <v>847</v>
      </c>
      <c r="E70" s="222"/>
      <c r="F70" s="222"/>
      <c r="G70" s="260"/>
      <c r="H70" s="222">
        <f ca="1">SUM(B70:G70)</f>
        <v>1530</v>
      </c>
      <c r="I70" s="3"/>
      <c r="J70" s="15"/>
      <c r="K70" s="15"/>
      <c r="L70" s="15"/>
      <c r="M70" s="15"/>
      <c r="N70" s="15"/>
    </row>
    <row r="71" spans="1:14" ht="16.5" customHeight="1">
      <c r="A71" s="45" t="s">
        <v>94</v>
      </c>
      <c r="B71" s="222"/>
      <c r="C71" s="222">
        <f ca="1">ROUND(E104*($C$57-$C$61)/($C$61-$C$59),0)</f>
        <v>752</v>
      </c>
      <c r="D71" s="222">
        <f ca="1">ROUND(F104*($D$57-$D$61)/($D$61-$D$59),0)</f>
        <v>847</v>
      </c>
      <c r="E71" s="222"/>
      <c r="F71" s="222"/>
      <c r="G71" s="260"/>
      <c r="H71" s="222">
        <f ca="1">SUM(B71:G71)</f>
        <v>1599</v>
      </c>
      <c r="I71" s="3"/>
      <c r="J71" s="15"/>
      <c r="K71" s="15"/>
      <c r="L71" s="15"/>
      <c r="M71" s="15"/>
      <c r="N71" s="15"/>
    </row>
    <row r="72" spans="1:14" ht="16.5" customHeight="1">
      <c r="A72" s="45" t="s">
        <v>95</v>
      </c>
      <c r="B72" s="222"/>
      <c r="C72" s="222">
        <f ca="1">ROUND(E105*($C$57-$C$61)/($C$61-$C$59),0)</f>
        <v>752</v>
      </c>
      <c r="D72" s="222"/>
      <c r="E72" s="222"/>
      <c r="F72" s="222"/>
      <c r="G72" s="260"/>
      <c r="H72" s="222">
        <f ca="1">SUM(B72:G72)</f>
        <v>752</v>
      </c>
      <c r="I72" s="3"/>
      <c r="J72" s="15"/>
      <c r="K72" s="15"/>
      <c r="L72" s="15"/>
      <c r="M72" s="15"/>
      <c r="N72" s="15"/>
    </row>
    <row r="73" spans="1:14" ht="16.5" customHeight="1">
      <c r="A73" s="45"/>
      <c r="B73" s="222"/>
      <c r="C73" s="222"/>
      <c r="D73" s="222"/>
      <c r="E73" s="222"/>
      <c r="F73" s="222"/>
      <c r="G73" s="260"/>
      <c r="H73" s="222"/>
      <c r="I73" s="3"/>
      <c r="J73" s="15"/>
      <c r="K73" s="15"/>
      <c r="L73" s="15"/>
      <c r="M73" s="15"/>
      <c r="N73" s="15"/>
    </row>
    <row r="74" spans="1:14" ht="16.5" customHeight="1">
      <c r="A74" s="45" t="s">
        <v>40</v>
      </c>
      <c r="B74" s="222"/>
      <c r="C74" s="222"/>
      <c r="D74" s="222"/>
      <c r="E74" s="222"/>
      <c r="F74" s="222">
        <f ca="1">ROUND(Warrant!E14*($F$57-$F$61)/($F$61-$F$59),0)</f>
        <v>80</v>
      </c>
      <c r="G74" s="222">
        <f ca="1">ROUND('CLA Conversion'!M24*($G$57-$G$61)/($G$61-$G$59),0)</f>
        <v>347</v>
      </c>
      <c r="H74" s="222">
        <f ca="1">SUM(B74:G74)</f>
        <v>427</v>
      </c>
      <c r="I74" s="3"/>
      <c r="J74" s="15"/>
      <c r="K74" s="15"/>
      <c r="L74" s="15"/>
      <c r="M74" s="15"/>
      <c r="N74" s="15"/>
    </row>
    <row r="75" spans="1:14" ht="16.5" customHeight="1">
      <c r="A75" s="45" t="s">
        <v>41</v>
      </c>
      <c r="B75" s="222"/>
      <c r="C75" s="222"/>
      <c r="D75" s="222"/>
      <c r="E75" s="222"/>
      <c r="F75" s="222">
        <f ca="1">ROUND(Warrant!E15*($F$57-$F$61)/($F$61-$F$59),0)</f>
        <v>80</v>
      </c>
      <c r="G75" s="222">
        <f ca="1">ROUND('CLA Conversion'!M25*($G$57-$G$61)/($G$61-$G$59),0)</f>
        <v>1736</v>
      </c>
      <c r="H75" s="222">
        <f ca="1">SUM(B75:G75)</f>
        <v>1816</v>
      </c>
      <c r="I75" s="3"/>
      <c r="J75" s="15"/>
      <c r="K75" s="15"/>
      <c r="L75" s="15"/>
      <c r="M75" s="15"/>
      <c r="N75" s="15"/>
    </row>
    <row r="76" spans="1:14" ht="16.5" customHeight="1">
      <c r="A76" s="45" t="s">
        <v>42</v>
      </c>
      <c r="B76" s="222"/>
      <c r="C76" s="222"/>
      <c r="D76" s="222"/>
      <c r="E76" s="222"/>
      <c r="F76" s="222"/>
      <c r="G76" s="222">
        <f ca="1">ROUND('CLA Conversion'!M26*($G$57-$G$61)/($G$61-$G$59),0)</f>
        <v>1180</v>
      </c>
      <c r="H76" s="222">
        <f ca="1">SUM(B76:G76)</f>
        <v>1180</v>
      </c>
      <c r="I76" s="3"/>
      <c r="J76" s="15"/>
      <c r="K76" s="15"/>
      <c r="L76" s="15"/>
      <c r="M76" s="15"/>
      <c r="N76" s="15"/>
    </row>
    <row r="77" spans="1:14" ht="16.5" customHeight="1">
      <c r="A77" s="45"/>
      <c r="B77" s="222"/>
      <c r="C77" s="222"/>
      <c r="D77" s="222"/>
      <c r="E77" s="222"/>
      <c r="F77" s="222"/>
      <c r="G77" s="260"/>
      <c r="H77" s="222"/>
      <c r="I77" s="3"/>
      <c r="J77" s="15"/>
      <c r="K77" s="15"/>
      <c r="L77" s="15"/>
      <c r="M77" s="15"/>
      <c r="N77" s="15"/>
    </row>
    <row r="78" spans="1:14" ht="16.5" customHeight="1">
      <c r="A78" s="45" t="s">
        <v>47</v>
      </c>
      <c r="B78" s="222"/>
      <c r="C78" s="222"/>
      <c r="D78" s="222"/>
      <c r="E78" s="222">
        <f ca="1">ROUND('Subscriptions - Series C'!G19*($E$57-$E$61)/($E$61-$E$59),0)</f>
        <v>1068</v>
      </c>
      <c r="F78" s="222"/>
      <c r="G78" s="260"/>
      <c r="H78" s="222">
        <f t="shared" ref="H78:H83" ca="1" si="9">SUM(B78:G78)</f>
        <v>1068</v>
      </c>
      <c r="I78" s="3"/>
      <c r="J78" s="15"/>
      <c r="K78" s="15"/>
      <c r="L78" s="15"/>
      <c r="M78" s="15"/>
      <c r="N78" s="15"/>
    </row>
    <row r="79" spans="1:14" ht="16.5" customHeight="1">
      <c r="A79" s="45" t="s">
        <v>48</v>
      </c>
      <c r="B79" s="222"/>
      <c r="C79" s="222"/>
      <c r="D79" s="222"/>
      <c r="E79" s="222">
        <f ca="1">ROUND('Subscriptions - Series C'!G20*($E$57-$E$61)/($E$61-$E$59),0)</f>
        <v>1068</v>
      </c>
      <c r="F79" s="222"/>
      <c r="G79" s="260"/>
      <c r="H79" s="222">
        <f t="shared" ca="1" si="9"/>
        <v>1068</v>
      </c>
      <c r="I79" s="3"/>
      <c r="J79" s="15"/>
      <c r="K79" s="15"/>
      <c r="L79" s="15"/>
      <c r="M79" s="15"/>
      <c r="N79" s="15"/>
    </row>
    <row r="80" spans="1:14" ht="16.5" customHeight="1">
      <c r="A80" s="45" t="s">
        <v>49</v>
      </c>
      <c r="B80" s="222"/>
      <c r="C80" s="222"/>
      <c r="D80" s="222"/>
      <c r="E80" s="222">
        <f ca="1">ROUND('Subscriptions - Series C'!G21*($E$57-$E$61)/($E$61-$E$59),0)</f>
        <v>534</v>
      </c>
      <c r="F80" s="222"/>
      <c r="G80" s="260"/>
      <c r="H80" s="222">
        <f t="shared" ca="1" si="9"/>
        <v>534</v>
      </c>
      <c r="I80" s="3"/>
      <c r="J80" s="15"/>
      <c r="K80" s="15"/>
      <c r="L80" s="15"/>
      <c r="M80" s="15"/>
      <c r="N80" s="15"/>
    </row>
    <row r="81" spans="1:15" ht="16.5" customHeight="1">
      <c r="A81" s="45" t="s">
        <v>50</v>
      </c>
      <c r="B81" s="222"/>
      <c r="C81" s="222"/>
      <c r="D81" s="222"/>
      <c r="E81" s="222">
        <f ca="1">ROUND('Subscriptions - Series C'!G22*($E$57-$E$61)/($E$61-$E$59),0)</f>
        <v>267</v>
      </c>
      <c r="F81" s="222"/>
      <c r="G81" s="260"/>
      <c r="H81" s="222">
        <f t="shared" ca="1" si="9"/>
        <v>267</v>
      </c>
      <c r="I81" s="3"/>
      <c r="J81" s="15"/>
      <c r="K81" s="15"/>
      <c r="L81" s="15"/>
      <c r="M81" s="15"/>
      <c r="N81" s="15"/>
    </row>
    <row r="82" spans="1:15" ht="16.5" customHeight="1">
      <c r="A82" s="45" t="s">
        <v>51</v>
      </c>
      <c r="B82" s="222"/>
      <c r="C82" s="222"/>
      <c r="D82" s="222"/>
      <c r="E82" s="222">
        <f ca="1">ROUND('Subscriptions - Series C'!G26*($E$57-$E$61)/($E$61-$E$59),0)</f>
        <v>534</v>
      </c>
      <c r="F82" s="222"/>
      <c r="G82" s="260"/>
      <c r="H82" s="222">
        <f t="shared" ca="1" si="9"/>
        <v>534</v>
      </c>
      <c r="I82" s="3"/>
      <c r="J82" s="15"/>
      <c r="K82" s="15"/>
      <c r="L82" s="15"/>
      <c r="M82" s="15"/>
      <c r="N82" s="15"/>
    </row>
    <row r="83" spans="1:15" ht="16.5" customHeight="1">
      <c r="A83" s="45" t="s">
        <v>52</v>
      </c>
      <c r="B83" s="222"/>
      <c r="C83" s="222"/>
      <c r="D83" s="222"/>
      <c r="E83" s="222">
        <f ca="1">ROUND('Subscriptions - Series C'!G27*($E$57-$E$61)/($E$61-$E$59),0)</f>
        <v>534</v>
      </c>
      <c r="F83" s="222"/>
      <c r="G83" s="260"/>
      <c r="H83" s="222">
        <f t="shared" ca="1" si="9"/>
        <v>534</v>
      </c>
      <c r="I83" s="3"/>
      <c r="J83" s="15"/>
      <c r="K83" s="15"/>
      <c r="L83" s="15"/>
      <c r="M83" s="15"/>
      <c r="N83" s="15"/>
    </row>
    <row r="84" spans="1:15" ht="16.5" customHeight="1">
      <c r="A84" s="45"/>
      <c r="B84" s="222"/>
      <c r="C84" s="222"/>
      <c r="D84" s="222"/>
      <c r="E84" s="222"/>
      <c r="F84" s="222"/>
      <c r="G84" s="260"/>
      <c r="H84" s="261"/>
      <c r="I84" s="3"/>
      <c r="J84" s="15"/>
      <c r="K84" s="15"/>
      <c r="L84" s="15"/>
      <c r="M84" s="15"/>
      <c r="N84" s="15"/>
    </row>
    <row r="85" spans="1:15" ht="16.5" customHeight="1" thickBot="1">
      <c r="A85" s="8" t="s">
        <v>10</v>
      </c>
      <c r="B85" s="259">
        <f t="shared" ref="B85:G85" ca="1" si="10">SUM(B69:B83)</f>
        <v>46</v>
      </c>
      <c r="C85" s="259">
        <f t="shared" ca="1" si="10"/>
        <v>2840</v>
      </c>
      <c r="D85" s="259">
        <f t="shared" ca="1" si="10"/>
        <v>1694</v>
      </c>
      <c r="E85" s="259">
        <f t="shared" ca="1" si="10"/>
        <v>4005</v>
      </c>
      <c r="F85" s="259">
        <f t="shared" ca="1" si="10"/>
        <v>160</v>
      </c>
      <c r="G85" s="259">
        <f t="shared" ca="1" si="10"/>
        <v>3263</v>
      </c>
      <c r="H85" s="259">
        <f ca="1">SUM(B85:G85)</f>
        <v>12008</v>
      </c>
      <c r="I85" s="3"/>
      <c r="J85" s="15"/>
      <c r="K85" s="15"/>
      <c r="L85" s="15"/>
      <c r="M85" s="15"/>
      <c r="N85" s="15"/>
    </row>
    <row r="86" spans="1:15" ht="16.5" customHeight="1">
      <c r="G86" s="196"/>
      <c r="H86" s="197"/>
      <c r="I86" s="3"/>
      <c r="J86" s="15"/>
      <c r="K86" s="15"/>
      <c r="L86" s="15"/>
      <c r="M86" s="15"/>
      <c r="N86" s="15"/>
    </row>
    <row r="87" spans="1:15" ht="16.5" customHeight="1">
      <c r="G87" s="196"/>
      <c r="H87" s="197"/>
      <c r="I87" s="3"/>
      <c r="J87" s="15"/>
      <c r="K87" s="15"/>
      <c r="L87" s="15"/>
      <c r="M87" s="15"/>
      <c r="N87" s="15"/>
    </row>
    <row r="88" spans="1:15" ht="30" customHeight="1">
      <c r="A88" s="265" t="s">
        <v>228</v>
      </c>
      <c r="B88" s="265"/>
      <c r="C88" s="265"/>
      <c r="D88" s="265"/>
      <c r="E88" s="265"/>
      <c r="F88" s="265"/>
      <c r="G88" s="265"/>
      <c r="H88" s="265"/>
      <c r="I88" s="265"/>
      <c r="J88" s="265"/>
      <c r="K88" s="265"/>
      <c r="L88" s="265"/>
      <c r="M88" s="265"/>
      <c r="N88" s="265"/>
    </row>
    <row r="89" spans="1:15" ht="15" customHeight="1">
      <c r="I89" s="3"/>
      <c r="J89" s="15"/>
      <c r="K89" s="15"/>
      <c r="L89" s="15"/>
      <c r="M89" s="15"/>
      <c r="N89" s="15"/>
    </row>
    <row r="90" spans="1:15" ht="15" customHeight="1">
      <c r="A90" s="265" t="s">
        <v>1</v>
      </c>
      <c r="B90" s="21" t="str">
        <f>'Current Capitalisation -XX.2024'!C7</f>
        <v>Common Shares</v>
      </c>
      <c r="C90" s="21" t="str">
        <f>'Current Capitalisation -XX.2024'!E7</f>
        <v xml:space="preserve">Common </v>
      </c>
      <c r="D90" s="21" t="str">
        <f>'Current Capitalisation -XX.2024'!F7</f>
        <v xml:space="preserve">Seed Preferred </v>
      </c>
      <c r="E90" s="21" t="str">
        <f>'Current Capitalisation -XX.2024'!G7</f>
        <v xml:space="preserve">Series A Preferred </v>
      </c>
      <c r="F90" s="21" t="str">
        <f>'Current Capitalisation -XX.2024'!H7</f>
        <v>Series B Preferred</v>
      </c>
      <c r="G90" s="21" t="str">
        <f>'Subscriptions - Series C'!G15</f>
        <v>Series C Preferred</v>
      </c>
      <c r="H90" s="285" t="s">
        <v>220</v>
      </c>
      <c r="I90" s="21" t="s">
        <v>186</v>
      </c>
      <c r="J90" s="266" t="s">
        <v>5</v>
      </c>
      <c r="K90" s="266"/>
      <c r="L90" s="15"/>
      <c r="M90" s="266" t="s">
        <v>6</v>
      </c>
      <c r="N90" s="266"/>
    </row>
    <row r="91" spans="1:15" ht="15" customHeight="1">
      <c r="A91" s="265"/>
      <c r="B91" s="21" t="s">
        <v>7</v>
      </c>
      <c r="C91" s="21" t="s">
        <v>8</v>
      </c>
      <c r="D91" s="21" t="s">
        <v>8</v>
      </c>
      <c r="E91" s="21" t="s">
        <v>8</v>
      </c>
      <c r="F91" s="21" t="s">
        <v>8</v>
      </c>
      <c r="G91" s="21" t="s">
        <v>8</v>
      </c>
      <c r="H91" s="285"/>
      <c r="I91" s="21" t="s">
        <v>8</v>
      </c>
      <c r="J91" s="21" t="s">
        <v>8</v>
      </c>
      <c r="K91" s="21" t="s">
        <v>13</v>
      </c>
      <c r="L91" s="15"/>
      <c r="M91" s="21" t="s">
        <v>8</v>
      </c>
      <c r="N91" s="21" t="s">
        <v>13</v>
      </c>
    </row>
    <row r="92" spans="1:15" ht="15" customHeight="1">
      <c r="H92" s="92"/>
      <c r="I92" s="3"/>
      <c r="J92" s="20"/>
    </row>
    <row r="93" spans="1:15" ht="14.25" customHeight="1">
      <c r="A93" s="24" t="s">
        <v>9</v>
      </c>
      <c r="B93" s="24"/>
      <c r="H93" s="92"/>
      <c r="I93" s="3"/>
      <c r="J93" s="20"/>
    </row>
    <row r="94" spans="1:15" ht="15" customHeight="1">
      <c r="A94" s="1" t="str">
        <f>'Current Capitalisation -XX.2024'!A11</f>
        <v>[Founder 1]</v>
      </c>
      <c r="B94" s="1"/>
      <c r="C94" s="5">
        <f>'Current Capitalisation -XX.2024'!E11</f>
        <v>12500</v>
      </c>
      <c r="E94" s="20"/>
      <c r="F94" s="20"/>
      <c r="G94" s="20"/>
      <c r="H94" s="226"/>
      <c r="I94" s="3"/>
      <c r="J94" s="20">
        <f>SUM(C94:I94)</f>
        <v>12500</v>
      </c>
      <c r="K94" s="29">
        <f ca="1">J94/$J$124</f>
        <v>7.9268447353068011E-2</v>
      </c>
      <c r="M94" s="20">
        <f>SUM(B94:I94)</f>
        <v>12500</v>
      </c>
      <c r="N94" s="29">
        <f ca="1">M94/$M$124</f>
        <v>7.1797404954595315E-2</v>
      </c>
    </row>
    <row r="95" spans="1:15" ht="15" customHeight="1">
      <c r="A95" s="1" t="str">
        <f>'Current Capitalisation -XX.2024'!A12</f>
        <v>[Founder 2]</v>
      </c>
      <c r="B95" s="1"/>
      <c r="C95" s="5">
        <f>'Current Capitalisation -XX.2024'!E12</f>
        <v>12500</v>
      </c>
      <c r="E95" s="20"/>
      <c r="F95" s="20"/>
      <c r="G95" s="20"/>
      <c r="H95" s="226"/>
      <c r="I95" s="3"/>
      <c r="J95" s="20">
        <f>SUM(C95:I95)</f>
        <v>12500</v>
      </c>
      <c r="K95" s="29">
        <f ca="1">J95/$J$124</f>
        <v>7.9268447353068011E-2</v>
      </c>
      <c r="M95" s="20">
        <f>SUM(B95:I95)</f>
        <v>12500</v>
      </c>
      <c r="N95" s="29">
        <f ca="1">M95/$M$124</f>
        <v>7.1797404954595315E-2</v>
      </c>
    </row>
    <row r="96" spans="1:15" ht="15" customHeight="1">
      <c r="A96" s="1"/>
      <c r="B96" s="1"/>
      <c r="C96" s="5"/>
      <c r="E96" s="20"/>
      <c r="F96" s="20"/>
      <c r="G96" s="20"/>
      <c r="H96" s="226"/>
      <c r="I96" s="3"/>
      <c r="J96" s="20"/>
      <c r="K96" s="29"/>
      <c r="M96" s="20"/>
      <c r="N96" s="29"/>
      <c r="O96" s="75">
        <f ca="1">SUM(N94:N95)</f>
        <v>0.14359480990919063</v>
      </c>
    </row>
    <row r="97" spans="1:15" ht="15" customHeight="1">
      <c r="A97" s="95" t="str">
        <f>'Current Capitalisation -XX.2024'!A14</f>
        <v xml:space="preserve">Common Shareholders </v>
      </c>
      <c r="B97" s="1"/>
      <c r="C97" s="5"/>
      <c r="E97" s="20"/>
      <c r="F97" s="20"/>
      <c r="G97" s="20"/>
      <c r="H97" s="226"/>
      <c r="I97" s="3"/>
      <c r="J97" s="20"/>
      <c r="K97" s="29">
        <f ca="1">J97/$J$124</f>
        <v>0</v>
      </c>
      <c r="M97" s="20"/>
      <c r="N97" s="29"/>
    </row>
    <row r="98" spans="1:15" ht="15" customHeight="1">
      <c r="A98" s="1" t="str">
        <f>'Current Capitalisation -XX.2024'!A15</f>
        <v>[Name]</v>
      </c>
      <c r="B98" s="1"/>
      <c r="C98" s="20">
        <f>'Current Capitalisation -XX.2024'!E15</f>
        <v>10000</v>
      </c>
      <c r="E98" s="20"/>
      <c r="F98" s="20"/>
      <c r="G98" s="20"/>
      <c r="H98" s="226"/>
      <c r="I98" s="3"/>
      <c r="J98" s="20">
        <f>SUM(C98:I98)</f>
        <v>10000</v>
      </c>
      <c r="K98" s="29">
        <f ca="1">J98/$J$124</f>
        <v>6.3414757882454403E-2</v>
      </c>
      <c r="M98" s="20">
        <f>SUM(B98:I98)</f>
        <v>10000</v>
      </c>
      <c r="N98" s="29">
        <f ca="1">M98/$M$124</f>
        <v>5.7437923963676259E-2</v>
      </c>
    </row>
    <row r="99" spans="1:15" ht="15" customHeight="1">
      <c r="A99" s="1" t="str">
        <f>'Current Capitalisation -XX.2024'!A16</f>
        <v>[Name]</v>
      </c>
      <c r="B99" s="1"/>
      <c r="C99" s="20">
        <f>'Current Capitalisation -XX.2024'!E16</f>
        <v>10000</v>
      </c>
      <c r="E99" s="20"/>
      <c r="F99" s="20"/>
      <c r="G99" s="20"/>
      <c r="H99" s="226"/>
      <c r="I99" s="3"/>
      <c r="J99" s="20">
        <f>SUM(C99:I99)</f>
        <v>10000</v>
      </c>
      <c r="K99" s="29">
        <f ca="1">J99/$J$124</f>
        <v>6.3414757882454403E-2</v>
      </c>
      <c r="M99" s="20">
        <f>SUM(B99:I99)</f>
        <v>10000</v>
      </c>
      <c r="N99" s="29">
        <f ca="1">M99/$M$124</f>
        <v>5.7437923963676259E-2</v>
      </c>
    </row>
    <row r="100" spans="1:15" ht="15" customHeight="1">
      <c r="A100" s="1"/>
      <c r="B100" s="1"/>
      <c r="C100" s="20"/>
      <c r="D100" s="20"/>
      <c r="E100" s="20"/>
      <c r="F100" s="20"/>
      <c r="G100" s="20"/>
      <c r="H100" s="226"/>
      <c r="I100" s="3"/>
      <c r="J100" s="20"/>
      <c r="K100" s="29"/>
      <c r="M100" s="20"/>
      <c r="N100" s="29"/>
      <c r="O100" s="75">
        <f ca="1">SUM(N98:N99)</f>
        <v>0.11487584792735252</v>
      </c>
    </row>
    <row r="101" spans="1:15" ht="15" customHeight="1">
      <c r="A101" s="95" t="str">
        <f>'Current Capitalisation -XX.2024'!A18</f>
        <v>Preferred Shareholders / Investors</v>
      </c>
      <c r="B101" s="1"/>
      <c r="C101" s="20"/>
      <c r="D101" s="20"/>
      <c r="E101" s="20"/>
      <c r="F101" s="20"/>
      <c r="G101" s="20"/>
      <c r="H101" s="226"/>
      <c r="I101" s="3"/>
      <c r="J101" s="20"/>
      <c r="K101" s="29"/>
      <c r="M101" s="20"/>
      <c r="N101" s="29"/>
    </row>
    <row r="102" spans="1:15" ht="15" customHeight="1">
      <c r="A102" s="1" t="str">
        <f>'Current Capitalisation -XX.2024'!A19</f>
        <v>[Shareholder 1]</v>
      </c>
      <c r="B102" s="1"/>
      <c r="C102" s="20"/>
      <c r="D102" s="20">
        <f>'Current Capitalisation -XX.2024'!$F$19</f>
        <v>2000</v>
      </c>
      <c r="E102" s="20">
        <f>'Current Capitalisation -XX.2024'!G19-Secondary!I12</f>
        <v>8000</v>
      </c>
      <c r="F102" s="20"/>
      <c r="G102" s="20"/>
      <c r="H102" s="227">
        <f ca="1">H69</f>
        <v>699</v>
      </c>
      <c r="I102" s="3"/>
      <c r="J102" s="20">
        <f ca="1">SUM(C102:H102)</f>
        <v>10699</v>
      </c>
      <c r="K102" s="29">
        <f ca="1">J102/$J$124</f>
        <v>6.7847449458437972E-2</v>
      </c>
      <c r="M102" s="20">
        <f ca="1">SUM(B102:H102)</f>
        <v>10699</v>
      </c>
      <c r="N102" s="29">
        <f ca="1">M102/$M$124</f>
        <v>6.1452834848737224E-2</v>
      </c>
    </row>
    <row r="103" spans="1:15" ht="15" customHeight="1">
      <c r="A103" s="1" t="str">
        <f>'Current Capitalisation -XX.2024'!A20</f>
        <v>[Shareholder 2]</v>
      </c>
      <c r="B103" s="1"/>
      <c r="C103" s="20"/>
      <c r="D103" s="20">
        <f>'Current Capitalisation -XX.2024'!$F$20</f>
        <v>1000</v>
      </c>
      <c r="E103" s="20">
        <f>'Current Capitalisation -XX.2024'!G20-Secondary!I13</f>
        <v>8000</v>
      </c>
      <c r="F103" s="20">
        <f>'Current Capitalisation -XX.2024'!H20</f>
        <v>7000</v>
      </c>
      <c r="G103" s="20"/>
      <c r="H103" s="227">
        <f ca="1">H70</f>
        <v>1530</v>
      </c>
      <c r="I103" s="3"/>
      <c r="J103" s="20">
        <f ca="1">SUM(C103:H103)</f>
        <v>17530</v>
      </c>
      <c r="K103" s="29">
        <f ca="1">J103/$J$124</f>
        <v>0.11116607056794257</v>
      </c>
      <c r="M103" s="20">
        <f ca="1">SUM(B103:H103)</f>
        <v>17530</v>
      </c>
      <c r="N103" s="29">
        <f ca="1">M103/$M$124</f>
        <v>0.10068868070832449</v>
      </c>
    </row>
    <row r="104" spans="1:15" ht="15" customHeight="1">
      <c r="A104" s="1" t="str">
        <f>'Current Capitalisation -XX.2024'!A21</f>
        <v>[Shareholder 3]</v>
      </c>
      <c r="B104" s="1"/>
      <c r="C104" s="20"/>
      <c r="D104" s="20"/>
      <c r="E104" s="20">
        <f>'Current Capitalisation -XX.2024'!G21</f>
        <v>9000</v>
      </c>
      <c r="F104" s="20">
        <f>'Current Capitalisation -XX.2024'!H21</f>
        <v>7000</v>
      </c>
      <c r="G104" s="20"/>
      <c r="H104" s="227">
        <f ca="1">H71</f>
        <v>1599</v>
      </c>
      <c r="I104" s="3"/>
      <c r="J104" s="20">
        <f ca="1">SUM(C104:H104)</f>
        <v>17599</v>
      </c>
      <c r="K104" s="29">
        <f ca="1">J104/$J$124</f>
        <v>0.11160363239733151</v>
      </c>
      <c r="M104" s="20">
        <f ca="1">SUM(B104:H104)</f>
        <v>17599</v>
      </c>
      <c r="N104" s="29">
        <f ca="1">M104/$M$124</f>
        <v>0.10108500238367385</v>
      </c>
    </row>
    <row r="105" spans="1:15" ht="15" customHeight="1">
      <c r="A105" s="1" t="str">
        <f>'Current Capitalisation -XX.2024'!A22</f>
        <v>[Shareholder 4]</v>
      </c>
      <c r="B105" s="1"/>
      <c r="C105" s="20"/>
      <c r="D105" s="20"/>
      <c r="E105" s="20">
        <f>'Current Capitalisation -XX.2024'!G22</f>
        <v>9000</v>
      </c>
      <c r="F105" s="20"/>
      <c r="G105" s="20"/>
      <c r="H105" s="227">
        <f ca="1">H72</f>
        <v>752</v>
      </c>
      <c r="I105" s="3"/>
      <c r="J105" s="20">
        <f ca="1">SUM(C105:H105)</f>
        <v>9752</v>
      </c>
      <c r="K105" s="29">
        <f ca="1">J105/$J$124</f>
        <v>6.1842071886969538E-2</v>
      </c>
      <c r="M105" s="20">
        <f ca="1">SUM(B105:H105)</f>
        <v>9752</v>
      </c>
      <c r="N105" s="29">
        <f ca="1">M105/$M$124</f>
        <v>5.6013463449377084E-2</v>
      </c>
    </row>
    <row r="106" spans="1:15" ht="15" customHeight="1">
      <c r="A106" s="1"/>
      <c r="B106" s="1"/>
      <c r="C106" s="20"/>
      <c r="D106" s="20"/>
      <c r="E106" s="20"/>
      <c r="F106" s="20"/>
      <c r="G106" s="20"/>
      <c r="H106" s="227"/>
      <c r="I106" s="3"/>
      <c r="J106" s="20"/>
      <c r="K106" s="29"/>
      <c r="M106" s="20"/>
      <c r="N106" s="29"/>
    </row>
    <row r="107" spans="1:15" ht="14.25" customHeight="1">
      <c r="A107" s="1" t="str">
        <f>'CLA Conversion'!A24</f>
        <v>[Holder 1]</v>
      </c>
      <c r="B107" s="1"/>
      <c r="C107" s="20"/>
      <c r="E107" s="20"/>
      <c r="F107" s="20"/>
      <c r="G107" s="20">
        <f ca="1">'CLA Conversion'!M24+Warrant!E14</f>
        <v>3083</v>
      </c>
      <c r="H107" s="227">
        <f ca="1">H74</f>
        <v>427</v>
      </c>
      <c r="I107" s="3"/>
      <c r="J107" s="20">
        <f ca="1">SUM(C107:H107)</f>
        <v>3510</v>
      </c>
      <c r="K107" s="29">
        <f ca="1">J107/$J$124</f>
        <v>2.2258580016741497E-2</v>
      </c>
      <c r="M107" s="20">
        <f ca="1">SUM(B107:H107)</f>
        <v>3510</v>
      </c>
      <c r="N107" s="29">
        <f ca="1">M107/$M$124</f>
        <v>2.0160711311250367E-2</v>
      </c>
    </row>
    <row r="108" spans="1:15" ht="15" customHeight="1">
      <c r="A108" s="1" t="str">
        <f>'CLA Conversion'!A25</f>
        <v>[Holder 2]</v>
      </c>
      <c r="C108" s="20"/>
      <c r="E108" s="20"/>
      <c r="F108" s="20"/>
      <c r="G108" s="20">
        <f ca="1">'CLA Conversion'!M25+Warrant!E15</f>
        <v>13243</v>
      </c>
      <c r="H108" s="227">
        <f ca="1">H75</f>
        <v>1816</v>
      </c>
      <c r="I108" s="3"/>
      <c r="J108" s="20">
        <f ca="1">SUM(C108:H108)</f>
        <v>15059</v>
      </c>
      <c r="K108" s="29">
        <f ca="1">J108/$J$124</f>
        <v>9.5496283895188092E-2</v>
      </c>
      <c r="M108" s="20">
        <f ca="1">SUM(B108:H108)</f>
        <v>15059</v>
      </c>
      <c r="N108" s="29">
        <f ca="1">M108/$M$124</f>
        <v>8.6495769696900079E-2</v>
      </c>
    </row>
    <row r="109" spans="1:15" ht="15" customHeight="1">
      <c r="A109" s="1" t="str">
        <f>'CLA Conversion'!A26</f>
        <v>[Holder 3]</v>
      </c>
      <c r="C109" s="20"/>
      <c r="E109" s="20"/>
      <c r="F109" s="20"/>
      <c r="G109" s="20">
        <f ca="1">'CLA Conversion'!M26</f>
        <v>8636</v>
      </c>
      <c r="H109" s="227">
        <f ca="1">H76</f>
        <v>1180</v>
      </c>
      <c r="I109" s="3"/>
      <c r="J109" s="20">
        <f ca="1">SUM(C109:H109)</f>
        <v>9816</v>
      </c>
      <c r="K109" s="29">
        <f ca="1">J109/$J$124</f>
        <v>6.2247926337417242E-2</v>
      </c>
      <c r="M109" s="20">
        <f ca="1">SUM(B109:H109)</f>
        <v>9816</v>
      </c>
      <c r="N109" s="29">
        <f ca="1">M109/$M$124</f>
        <v>5.6381066162744617E-2</v>
      </c>
    </row>
    <row r="110" spans="1:15" ht="15" customHeight="1">
      <c r="A110" s="1"/>
      <c r="C110" s="20"/>
      <c r="E110" s="20"/>
      <c r="F110" s="20"/>
      <c r="G110" s="20"/>
      <c r="H110" s="227"/>
      <c r="I110" s="3"/>
      <c r="J110" s="20"/>
      <c r="K110" s="29"/>
      <c r="M110" s="20"/>
      <c r="N110" s="29"/>
    </row>
    <row r="111" spans="1:15" ht="15" customHeight="1">
      <c r="A111" s="1" t="str">
        <f>'Subscriptions - Series C'!A19</f>
        <v>[Investor 1]</v>
      </c>
      <c r="C111" s="20"/>
      <c r="E111" s="20"/>
      <c r="F111" s="20"/>
      <c r="G111" s="20">
        <f ca="1">'Subscriptions - Series C'!G19</f>
        <v>6593</v>
      </c>
      <c r="H111" s="227">
        <f t="shared" ref="H111:H116" ca="1" si="11">H78</f>
        <v>1068</v>
      </c>
      <c r="I111" s="3"/>
      <c r="J111" s="20">
        <f t="shared" ref="J111:J116" ca="1" si="12">SUM(C111:H111)</f>
        <v>7661</v>
      </c>
      <c r="K111" s="29">
        <f t="shared" ref="K111:K116" ca="1" si="13">J111/$J$124</f>
        <v>4.8582046013748319E-2</v>
      </c>
      <c r="M111" s="20">
        <f t="shared" ref="M111:M116" ca="1" si="14">SUM(B111:H111)</f>
        <v>7661</v>
      </c>
      <c r="N111" s="29">
        <f t="shared" ref="N111:N116" ca="1" si="15">M111/$M$124</f>
        <v>4.4003193548572378E-2</v>
      </c>
    </row>
    <row r="112" spans="1:15" ht="15" customHeight="1">
      <c r="A112" s="1" t="str">
        <f>'Subscriptions - Series C'!A20</f>
        <v>[Investor 2]</v>
      </c>
      <c r="C112" s="20"/>
      <c r="E112" s="20"/>
      <c r="F112" s="20"/>
      <c r="G112" s="20">
        <f ca="1">'Subscriptions - Series C'!G20</f>
        <v>6593</v>
      </c>
      <c r="H112" s="227">
        <f t="shared" ca="1" si="11"/>
        <v>1068</v>
      </c>
      <c r="I112" s="3"/>
      <c r="J112" s="20">
        <f t="shared" ca="1" si="12"/>
        <v>7661</v>
      </c>
      <c r="K112" s="29">
        <f t="shared" ca="1" si="13"/>
        <v>4.8582046013748319E-2</v>
      </c>
      <c r="M112" s="20">
        <f t="shared" ca="1" si="14"/>
        <v>7661</v>
      </c>
      <c r="N112" s="29">
        <f t="shared" ca="1" si="15"/>
        <v>4.4003193548572378E-2</v>
      </c>
    </row>
    <row r="113" spans="1:15" ht="15" customHeight="1">
      <c r="A113" s="1" t="str">
        <f>'Subscriptions - Series C'!A21</f>
        <v>[Investor 3]</v>
      </c>
      <c r="C113" s="20"/>
      <c r="E113" s="20"/>
      <c r="F113" s="20"/>
      <c r="G113" s="20">
        <f ca="1">'Subscriptions - Series C'!G21</f>
        <v>3296</v>
      </c>
      <c r="H113" s="227">
        <f t="shared" ca="1" si="11"/>
        <v>534</v>
      </c>
      <c r="I113" s="3"/>
      <c r="J113" s="20">
        <f t="shared" ca="1" si="12"/>
        <v>3830</v>
      </c>
      <c r="K113" s="29">
        <f t="shared" ca="1" si="13"/>
        <v>2.4287852268980038E-2</v>
      </c>
      <c r="M113" s="20">
        <f t="shared" ca="1" si="14"/>
        <v>3830</v>
      </c>
      <c r="N113" s="29">
        <f t="shared" ca="1" si="15"/>
        <v>2.1998724878088006E-2</v>
      </c>
    </row>
    <row r="114" spans="1:15" ht="15" customHeight="1">
      <c r="A114" s="1" t="str">
        <f>'Subscriptions - Series C'!A22</f>
        <v>[Investor 4]</v>
      </c>
      <c r="C114" s="20"/>
      <c r="E114" s="20"/>
      <c r="F114" s="20"/>
      <c r="G114" s="20">
        <f ca="1">'Subscriptions - Series C'!G22</f>
        <v>1648</v>
      </c>
      <c r="H114" s="227">
        <f t="shared" ca="1" si="11"/>
        <v>267</v>
      </c>
      <c r="I114" s="3"/>
      <c r="J114" s="20">
        <f t="shared" ca="1" si="12"/>
        <v>1915</v>
      </c>
      <c r="K114" s="29">
        <f t="shared" ca="1" si="13"/>
        <v>1.2143926134490019E-2</v>
      </c>
      <c r="M114" s="20">
        <f t="shared" ca="1" si="14"/>
        <v>1915</v>
      </c>
      <c r="N114" s="29">
        <f t="shared" ca="1" si="15"/>
        <v>1.0999362439044003E-2</v>
      </c>
    </row>
    <row r="115" spans="1:15" ht="15" customHeight="1">
      <c r="A115" s="1" t="str">
        <f>'Subscriptions - Series C'!A26</f>
        <v>[Investor 5]</v>
      </c>
      <c r="C115" s="20"/>
      <c r="E115" s="20"/>
      <c r="F115" s="20"/>
      <c r="G115" s="20">
        <f ca="1">'Subscriptions - Series C'!G26</f>
        <v>3296</v>
      </c>
      <c r="H115" s="227">
        <f t="shared" ca="1" si="11"/>
        <v>534</v>
      </c>
      <c r="I115" s="3"/>
      <c r="J115" s="20">
        <f t="shared" ca="1" si="12"/>
        <v>3830</v>
      </c>
      <c r="K115" s="29">
        <f t="shared" ca="1" si="13"/>
        <v>2.4287852268980038E-2</v>
      </c>
      <c r="M115" s="20">
        <f t="shared" ca="1" si="14"/>
        <v>3830</v>
      </c>
      <c r="N115" s="29">
        <f t="shared" ca="1" si="15"/>
        <v>2.1998724878088006E-2</v>
      </c>
    </row>
    <row r="116" spans="1:15" ht="15" customHeight="1">
      <c r="A116" s="1" t="str">
        <f>'Subscriptions - Series C'!A27</f>
        <v>[Investor 6]</v>
      </c>
      <c r="C116" s="20"/>
      <c r="E116" s="20"/>
      <c r="F116" s="20"/>
      <c r="G116" s="20">
        <f ca="1">'Subscriptions - Series C'!G27</f>
        <v>3296</v>
      </c>
      <c r="H116" s="227">
        <f t="shared" ca="1" si="11"/>
        <v>534</v>
      </c>
      <c r="I116" s="3"/>
      <c r="J116" s="20">
        <f t="shared" ca="1" si="12"/>
        <v>3830</v>
      </c>
      <c r="K116" s="29">
        <f t="shared" ca="1" si="13"/>
        <v>2.4287852268980038E-2</v>
      </c>
      <c r="M116" s="20">
        <f t="shared" ca="1" si="14"/>
        <v>3830</v>
      </c>
      <c r="N116" s="29">
        <f t="shared" ca="1" si="15"/>
        <v>2.1998724878088006E-2</v>
      </c>
    </row>
    <row r="117" spans="1:15" ht="15" customHeight="1">
      <c r="A117" s="1"/>
      <c r="C117" s="20"/>
      <c r="E117" s="20"/>
      <c r="F117" s="20"/>
      <c r="G117" s="20"/>
      <c r="H117" s="226"/>
      <c r="I117" s="3"/>
      <c r="J117" s="20"/>
      <c r="K117" s="29"/>
      <c r="M117" s="20"/>
      <c r="N117" s="29"/>
      <c r="O117" s="75">
        <f ca="1">SUM(N102:N116)</f>
        <v>0.64727945273146037</v>
      </c>
    </row>
    <row r="118" spans="1:15" ht="15" customHeight="1">
      <c r="A118" s="1" t="s">
        <v>227</v>
      </c>
      <c r="C118" s="20"/>
      <c r="E118" s="20"/>
      <c r="F118" s="20"/>
      <c r="G118" s="20"/>
      <c r="H118" s="226"/>
      <c r="I118" s="195">
        <f ca="1">E14</f>
        <v>54031</v>
      </c>
      <c r="J118" s="20"/>
      <c r="K118" s="29"/>
      <c r="M118" s="20"/>
      <c r="N118" s="29"/>
      <c r="O118" s="75"/>
    </row>
    <row r="119" spans="1:15" ht="15" customHeight="1">
      <c r="A119" s="1"/>
      <c r="C119" s="20"/>
      <c r="E119" s="20"/>
      <c r="F119" s="20"/>
      <c r="G119" s="20"/>
      <c r="H119" s="226"/>
      <c r="I119" s="3"/>
      <c r="J119" s="20"/>
      <c r="K119" s="29"/>
      <c r="M119" s="20"/>
      <c r="N119" s="29"/>
    </row>
    <row r="120" spans="1:15" ht="15" customHeight="1">
      <c r="A120" s="95" t="str">
        <f>'Current Capitalisation -XX.2024'!A24</f>
        <v>ESOP</v>
      </c>
      <c r="C120" s="20"/>
      <c r="E120" s="20"/>
      <c r="F120" s="20"/>
      <c r="G120" s="20"/>
      <c r="H120" s="226"/>
      <c r="I120" s="3"/>
      <c r="J120" s="20"/>
      <c r="K120" s="29"/>
      <c r="M120" s="20"/>
      <c r="N120" s="29"/>
    </row>
    <row r="121" spans="1:15" ht="15" customHeight="1">
      <c r="A121" s="1" t="str">
        <f>'Current Capitalisation -XX.2024'!A25</f>
        <v>Allocated</v>
      </c>
      <c r="B121" s="20">
        <f>'Current Capitalisation -XX.2024'!C25</f>
        <v>7500</v>
      </c>
      <c r="C121" s="20"/>
      <c r="E121" s="20"/>
      <c r="F121" s="20"/>
      <c r="G121" s="20"/>
      <c r="H121" s="226"/>
      <c r="I121" s="3"/>
      <c r="J121" s="20"/>
      <c r="K121" s="29"/>
      <c r="M121" s="20">
        <f>SUM(B121:I121)</f>
        <v>7500</v>
      </c>
      <c r="N121" s="29">
        <f ca="1">M121/$M$124</f>
        <v>4.3078442972757196E-2</v>
      </c>
    </row>
    <row r="122" spans="1:15" ht="15" customHeight="1">
      <c r="A122" s="1" t="str">
        <f>'Current Capitalisation -XX.2024'!A26</f>
        <v>Unallocated</v>
      </c>
      <c r="B122" s="20">
        <f ca="1">'Subscriptions - Series C'!C40+'Subscriptions - Series C'!C43</f>
        <v>8909</v>
      </c>
      <c r="C122" s="20"/>
      <c r="E122" s="20"/>
      <c r="F122" s="20"/>
      <c r="G122" s="20"/>
      <c r="H122" s="226"/>
      <c r="I122" s="3"/>
      <c r="J122" s="20"/>
      <c r="K122" s="29"/>
      <c r="M122" s="20">
        <f ca="1">SUM(B122:I122)</f>
        <v>8909</v>
      </c>
      <c r="N122" s="29">
        <f ca="1">M122/$M$124</f>
        <v>5.1171446459239177E-2</v>
      </c>
    </row>
    <row r="123" spans="1:15" ht="15" customHeight="1">
      <c r="A123" s="1"/>
      <c r="B123" s="1"/>
      <c r="C123" s="27"/>
      <c r="D123" s="26"/>
      <c r="E123" s="26"/>
      <c r="F123" s="28"/>
      <c r="G123" s="28"/>
      <c r="H123" s="228"/>
      <c r="I123" s="3"/>
      <c r="J123" s="6"/>
      <c r="K123" s="6"/>
      <c r="L123" s="6"/>
      <c r="M123" s="27"/>
      <c r="N123" s="7"/>
      <c r="O123" s="75">
        <f ca="1">SUM(N121:N122)</f>
        <v>9.4249889431996373E-2</v>
      </c>
    </row>
    <row r="124" spans="1:15" ht="15" customHeight="1" thickBot="1">
      <c r="A124" s="8" t="s">
        <v>10</v>
      </c>
      <c r="B124" s="32">
        <f t="shared" ref="B124:G124" ca="1" si="16">SUM(B94:B123)</f>
        <v>16409</v>
      </c>
      <c r="C124" s="32">
        <f t="shared" si="16"/>
        <v>45000</v>
      </c>
      <c r="D124" s="32">
        <f t="shared" si="16"/>
        <v>3000</v>
      </c>
      <c r="E124" s="32">
        <f t="shared" si="16"/>
        <v>34000</v>
      </c>
      <c r="F124" s="32">
        <f t="shared" si="16"/>
        <v>14000</v>
      </c>
      <c r="G124" s="32">
        <f t="shared" ca="1" si="16"/>
        <v>49684</v>
      </c>
      <c r="H124" s="229">
        <f t="shared" ref="H124:I124" ca="1" si="17">SUM(H94:H123)</f>
        <v>12008</v>
      </c>
      <c r="I124" s="32">
        <f t="shared" ca="1" si="17"/>
        <v>54031</v>
      </c>
      <c r="J124" s="32">
        <f ca="1">SUM(J94:J123)</f>
        <v>157692</v>
      </c>
      <c r="K124" s="9">
        <f ca="1">SUM(K94:K123)</f>
        <v>0.99999999999999989</v>
      </c>
      <c r="L124" s="23"/>
      <c r="M124" s="32">
        <f ca="1">SUM(M94:M122)</f>
        <v>174101</v>
      </c>
      <c r="N124" s="9">
        <f ca="1">SUM(N94:N122)</f>
        <v>1</v>
      </c>
    </row>
    <row r="125" spans="1:15" ht="15" customHeight="1">
      <c r="A125" s="11"/>
      <c r="B125" s="11"/>
      <c r="C125" s="11"/>
      <c r="D125" s="11"/>
      <c r="E125" s="12"/>
      <c r="F125" s="12"/>
      <c r="G125" s="12"/>
      <c r="H125" s="12"/>
      <c r="I125" s="3"/>
      <c r="J125" s="12"/>
      <c r="K125" s="12"/>
      <c r="L125" s="12"/>
      <c r="M125" s="12"/>
      <c r="N125" s="10"/>
    </row>
    <row r="127" spans="1:15" ht="15" customHeight="1">
      <c r="A127" s="1"/>
      <c r="I127" s="3"/>
    </row>
    <row r="128" spans="1:15" ht="15" customHeight="1">
      <c r="A128" s="14"/>
      <c r="B128" s="14"/>
      <c r="C128" s="14"/>
      <c r="D128" s="14"/>
      <c r="E128" s="14"/>
      <c r="F128" s="14"/>
      <c r="G128" s="14"/>
      <c r="H128" s="14"/>
      <c r="I128" s="3"/>
      <c r="J128" s="14"/>
      <c r="K128" s="14"/>
      <c r="L128" s="14"/>
      <c r="M128" s="14"/>
    </row>
    <row r="129" spans="9:14" ht="15" customHeight="1">
      <c r="I129" s="3"/>
    </row>
    <row r="130" spans="9:14" ht="15" customHeight="1">
      <c r="I130" s="3"/>
      <c r="N130" s="10"/>
    </row>
    <row r="131" spans="9:14" ht="15" customHeight="1">
      <c r="I131" s="3"/>
      <c r="N131" s="10"/>
    </row>
    <row r="132" spans="9:14" ht="15" customHeight="1">
      <c r="I132" s="3"/>
      <c r="N132" s="10"/>
    </row>
    <row r="133" spans="9:14" ht="15" customHeight="1">
      <c r="I133" s="3"/>
      <c r="N133" s="1"/>
    </row>
  </sheetData>
  <mergeCells count="9">
    <mergeCell ref="B37:B38"/>
    <mergeCell ref="B40:B41"/>
    <mergeCell ref="A90:A91"/>
    <mergeCell ref="J90:K90"/>
    <mergeCell ref="M90:N90"/>
    <mergeCell ref="H90:H91"/>
    <mergeCell ref="A52:H52"/>
    <mergeCell ref="A88:N88"/>
    <mergeCell ref="A67:H67"/>
  </mergeCells>
  <pageMargins left="0.7" right="0.7" top="0.78740157499999996" bottom="0.78740157499999996" header="0.3" footer="0.3"/>
  <pageSetup paperSize="8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3145"/>
    <pageSetUpPr fitToPage="1"/>
  </sheetPr>
  <dimension ref="A1:O41"/>
  <sheetViews>
    <sheetView zoomScale="80" zoomScaleNormal="80" workbookViewId="0">
      <pane ySplit="5" topLeftCell="A6" activePane="bottomLeft" state="frozen"/>
      <selection pane="bottomLeft" activeCell="H42" sqref="H42"/>
    </sheetView>
  </sheetViews>
  <sheetFormatPr defaultColWidth="11.42578125" defaultRowHeight="15" customHeight="1"/>
  <cols>
    <col min="1" max="1" width="50" style="3" customWidth="1"/>
    <col min="2" max="2" width="1.7109375" style="3" customWidth="1"/>
    <col min="3" max="3" width="25.7109375" style="3" customWidth="1"/>
    <col min="4" max="4" width="1.7109375" style="3" customWidth="1"/>
    <col min="5" max="8" width="25.7109375" style="3" customWidth="1"/>
    <col min="9" max="9" width="1.7109375" style="3" customWidth="1"/>
    <col min="10" max="11" width="20.7109375" style="3" customWidth="1"/>
    <col min="12" max="12" width="1.7109375" style="3" customWidth="1"/>
    <col min="13" max="14" width="20.7109375" style="3" customWidth="1"/>
    <col min="15" max="16384" width="11.42578125" style="3"/>
  </cols>
  <sheetData>
    <row r="1" spans="1:15" ht="18" customHeight="1">
      <c r="A1" s="16"/>
      <c r="B1" s="16"/>
      <c r="C1" s="16"/>
      <c r="D1" s="16"/>
      <c r="E1" s="16"/>
      <c r="F1" s="18"/>
      <c r="G1" s="18"/>
      <c r="H1" s="16"/>
      <c r="I1" s="264"/>
      <c r="J1" s="264"/>
      <c r="K1" s="264"/>
      <c r="L1" s="264"/>
      <c r="M1" s="264"/>
      <c r="N1" s="264"/>
    </row>
    <row r="2" spans="1:15" ht="15" customHeight="1">
      <c r="A2" s="16"/>
      <c r="B2" s="16"/>
      <c r="C2" s="16"/>
      <c r="D2" s="16"/>
      <c r="E2" s="18"/>
      <c r="F2" s="18"/>
      <c r="G2" s="18"/>
      <c r="H2" s="16"/>
      <c r="I2" s="264"/>
      <c r="J2" s="264"/>
      <c r="K2" s="264"/>
      <c r="L2" s="264"/>
      <c r="M2" s="264"/>
      <c r="N2" s="264"/>
    </row>
    <row r="3" spans="1:15" ht="15" customHeight="1">
      <c r="A3" s="16"/>
      <c r="B3" s="16"/>
      <c r="C3" s="16"/>
      <c r="D3" s="16"/>
      <c r="E3" s="18"/>
      <c r="F3" s="18"/>
      <c r="G3" s="18"/>
      <c r="H3" s="17" t="s">
        <v>4</v>
      </c>
      <c r="I3" s="264"/>
      <c r="J3" s="264"/>
      <c r="K3" s="264"/>
      <c r="L3" s="264"/>
      <c r="M3" s="264"/>
      <c r="N3" s="264"/>
    </row>
    <row r="4" spans="1:15" ht="15" customHeight="1">
      <c r="A4" s="16"/>
      <c r="B4" s="16"/>
      <c r="C4" s="16"/>
      <c r="D4" s="16"/>
      <c r="E4" s="18"/>
      <c r="F4" s="18"/>
      <c r="G4" s="18"/>
      <c r="H4" s="16"/>
      <c r="I4" s="264"/>
      <c r="J4" s="264"/>
      <c r="K4" s="264"/>
      <c r="L4" s="264"/>
      <c r="M4" s="264"/>
      <c r="N4" s="264"/>
    </row>
    <row r="5" spans="1:15" ht="15" customHeight="1">
      <c r="A5" s="16"/>
      <c r="B5" s="16"/>
      <c r="C5" s="16"/>
      <c r="D5" s="16"/>
      <c r="E5" s="16"/>
      <c r="F5" s="18"/>
      <c r="G5" s="18"/>
      <c r="H5" s="16"/>
      <c r="I5" s="264"/>
      <c r="J5" s="264"/>
      <c r="K5" s="264"/>
      <c r="L5" s="264"/>
      <c r="M5" s="264"/>
      <c r="N5" s="264"/>
    </row>
    <row r="6" spans="1:15" ht="15" customHeight="1">
      <c r="J6" s="15"/>
      <c r="K6" s="15"/>
      <c r="L6" s="15"/>
      <c r="M6" s="15"/>
      <c r="N6" s="15"/>
    </row>
    <row r="7" spans="1:15" ht="15" customHeight="1">
      <c r="A7" s="265" t="s">
        <v>1</v>
      </c>
      <c r="B7" s="39"/>
      <c r="C7" s="21" t="s">
        <v>25</v>
      </c>
      <c r="D7" s="39"/>
      <c r="E7" s="21" t="s">
        <v>11</v>
      </c>
      <c r="F7" s="21" t="s">
        <v>12</v>
      </c>
      <c r="G7" s="21" t="s">
        <v>45</v>
      </c>
      <c r="H7" s="21" t="s">
        <v>46</v>
      </c>
      <c r="J7" s="266" t="s">
        <v>5</v>
      </c>
      <c r="K7" s="266"/>
      <c r="L7" s="15"/>
      <c r="M7" s="266" t="s">
        <v>6</v>
      </c>
      <c r="N7" s="266"/>
    </row>
    <row r="8" spans="1:15" ht="15" customHeight="1">
      <c r="A8" s="265"/>
      <c r="B8" s="39"/>
      <c r="C8" s="21" t="s">
        <v>7</v>
      </c>
      <c r="D8" s="39"/>
      <c r="E8" s="21" t="s">
        <v>8</v>
      </c>
      <c r="F8" s="21" t="s">
        <v>8</v>
      </c>
      <c r="G8" s="21" t="s">
        <v>8</v>
      </c>
      <c r="H8" s="21" t="s">
        <v>8</v>
      </c>
      <c r="J8" s="21" t="s">
        <v>8</v>
      </c>
      <c r="K8" s="21" t="s">
        <v>13</v>
      </c>
      <c r="L8" s="15"/>
      <c r="M8" s="21" t="s">
        <v>8</v>
      </c>
      <c r="N8" s="21" t="s">
        <v>13</v>
      </c>
    </row>
    <row r="10" spans="1:15" ht="14.25" customHeight="1">
      <c r="A10" s="25" t="s">
        <v>9</v>
      </c>
      <c r="B10" s="24"/>
      <c r="C10" s="24"/>
      <c r="D10" s="24"/>
    </row>
    <row r="11" spans="1:15" ht="15" customHeight="1">
      <c r="A11" s="1" t="s">
        <v>90</v>
      </c>
      <c r="B11" s="1"/>
      <c r="C11" s="1"/>
      <c r="D11" s="1"/>
      <c r="E11" s="5">
        <v>12500</v>
      </c>
      <c r="F11" s="20"/>
      <c r="G11" s="20"/>
      <c r="H11" s="20"/>
      <c r="J11" s="20">
        <f>SUM(E11:H11)</f>
        <v>12500</v>
      </c>
      <c r="K11" s="29">
        <f t="shared" ref="K11:K22" si="0">J11/$J$28</f>
        <v>0.12755102040816327</v>
      </c>
      <c r="M11" s="20">
        <f>SUM(C11:H11)</f>
        <v>12500</v>
      </c>
      <c r="N11" s="29">
        <f>M11/$M$28</f>
        <v>0.11574074074074074</v>
      </c>
    </row>
    <row r="12" spans="1:15" ht="15" customHeight="1">
      <c r="A12" s="1" t="s">
        <v>91</v>
      </c>
      <c r="B12" s="1"/>
      <c r="C12" s="1"/>
      <c r="D12" s="1"/>
      <c r="E12" s="5">
        <v>12500</v>
      </c>
      <c r="F12" s="20"/>
      <c r="G12" s="20"/>
      <c r="H12" s="20"/>
      <c r="J12" s="20">
        <f>SUM(E12:H12)</f>
        <v>12500</v>
      </c>
      <c r="K12" s="29">
        <f t="shared" si="0"/>
        <v>0.12755102040816327</v>
      </c>
      <c r="M12" s="20">
        <f>SUM(C12:H12)</f>
        <v>12500</v>
      </c>
      <c r="N12" s="29">
        <f>M12/$M$28</f>
        <v>0.11574074074074074</v>
      </c>
    </row>
    <row r="13" spans="1:15" ht="15" customHeight="1">
      <c r="E13" s="20"/>
      <c r="F13" s="20"/>
      <c r="G13" s="20"/>
      <c r="H13" s="20"/>
      <c r="J13" s="20"/>
      <c r="K13" s="29"/>
      <c r="M13" s="20"/>
      <c r="N13" s="29"/>
      <c r="O13" s="118">
        <f>SUM(N11:N12)</f>
        <v>0.23148148148148148</v>
      </c>
    </row>
    <row r="14" spans="1:15" ht="15" customHeight="1">
      <c r="A14" s="25" t="s">
        <v>44</v>
      </c>
      <c r="B14" s="25"/>
      <c r="C14" s="25"/>
      <c r="D14" s="25"/>
      <c r="E14" s="20"/>
      <c r="F14" s="20"/>
      <c r="G14" s="20"/>
      <c r="H14" s="20"/>
      <c r="J14" s="20"/>
      <c r="K14" s="29"/>
      <c r="M14" s="20"/>
      <c r="N14" s="29"/>
    </row>
    <row r="15" spans="1:15" ht="15" customHeight="1">
      <c r="A15" s="1" t="s">
        <v>2</v>
      </c>
      <c r="B15" s="1"/>
      <c r="C15" s="1"/>
      <c r="D15" s="1"/>
      <c r="E15" s="20">
        <v>10000</v>
      </c>
      <c r="G15" s="20"/>
      <c r="H15" s="20"/>
      <c r="J15" s="20">
        <f>SUM(E15:H15)</f>
        <v>10000</v>
      </c>
      <c r="K15" s="29">
        <f t="shared" si="0"/>
        <v>0.10204081632653061</v>
      </c>
      <c r="M15" s="20">
        <f>SUM(C15:H15)</f>
        <v>10000</v>
      </c>
      <c r="N15" s="29">
        <f>M15/$M$28</f>
        <v>9.2592592592592587E-2</v>
      </c>
    </row>
    <row r="16" spans="1:15" ht="15" customHeight="1">
      <c r="A16" s="1" t="s">
        <v>2</v>
      </c>
      <c r="B16" s="1"/>
      <c r="C16" s="1"/>
      <c r="D16" s="1"/>
      <c r="E16" s="20">
        <v>10000</v>
      </c>
      <c r="G16" s="20"/>
      <c r="H16" s="20"/>
      <c r="J16" s="20">
        <f>SUM(E16:H16)</f>
        <v>10000</v>
      </c>
      <c r="K16" s="29">
        <f t="shared" si="0"/>
        <v>0.10204081632653061</v>
      </c>
      <c r="M16" s="20">
        <f>SUM(C16:H16)</f>
        <v>10000</v>
      </c>
      <c r="N16" s="29">
        <f>M16/$M$28</f>
        <v>9.2592592592592587E-2</v>
      </c>
    </row>
    <row r="17" spans="1:15" ht="15" customHeight="1">
      <c r="A17" s="1"/>
      <c r="B17" s="1"/>
      <c r="C17" s="1"/>
      <c r="D17" s="1"/>
      <c r="E17" s="20"/>
      <c r="F17" s="20"/>
      <c r="G17" s="20"/>
      <c r="H17" s="20"/>
      <c r="J17" s="20"/>
      <c r="K17" s="29"/>
      <c r="M17" s="20"/>
      <c r="N17" s="29"/>
      <c r="O17" s="118">
        <f>SUM(N15:N16)</f>
        <v>0.18518518518518517</v>
      </c>
    </row>
    <row r="18" spans="1:15" ht="15" customHeight="1">
      <c r="A18" s="25" t="s">
        <v>43</v>
      </c>
      <c r="B18" s="25"/>
      <c r="C18" s="25"/>
      <c r="D18" s="25"/>
      <c r="E18" s="20"/>
      <c r="F18" s="20"/>
      <c r="G18" s="20"/>
      <c r="H18" s="20"/>
      <c r="J18" s="20"/>
      <c r="K18" s="29"/>
      <c r="M18" s="20"/>
      <c r="N18" s="29"/>
    </row>
    <row r="19" spans="1:15" ht="15" customHeight="1">
      <c r="A19" s="1" t="s">
        <v>92</v>
      </c>
      <c r="B19" s="1"/>
      <c r="C19" s="1"/>
      <c r="D19" s="1"/>
      <c r="E19" s="20"/>
      <c r="F19" s="20">
        <v>2000</v>
      </c>
      <c r="G19" s="20">
        <v>9000</v>
      </c>
      <c r="H19" s="20"/>
      <c r="J19" s="20">
        <f>SUM(E19:H19)</f>
        <v>11000</v>
      </c>
      <c r="K19" s="29">
        <f t="shared" si="0"/>
        <v>0.11224489795918367</v>
      </c>
      <c r="M19" s="20">
        <f>SUM(C19:H19)</f>
        <v>11000</v>
      </c>
      <c r="N19" s="29">
        <f>M19/$M$28</f>
        <v>0.10185185185185185</v>
      </c>
    </row>
    <row r="20" spans="1:15" ht="14.25" customHeight="1">
      <c r="A20" s="1" t="s">
        <v>93</v>
      </c>
      <c r="B20" s="1"/>
      <c r="C20" s="1"/>
      <c r="D20" s="1"/>
      <c r="E20" s="20"/>
      <c r="F20" s="20">
        <v>1000</v>
      </c>
      <c r="G20" s="20">
        <v>9000</v>
      </c>
      <c r="H20" s="20">
        <v>7000</v>
      </c>
      <c r="J20" s="20">
        <f>SUM(E20:H20)</f>
        <v>17000</v>
      </c>
      <c r="K20" s="29">
        <f t="shared" si="0"/>
        <v>0.17346938775510204</v>
      </c>
      <c r="M20" s="20">
        <f>SUM(C20:H20)</f>
        <v>17000</v>
      </c>
      <c r="N20" s="29">
        <f>M20/$M$28</f>
        <v>0.15740740740740741</v>
      </c>
    </row>
    <row r="21" spans="1:15" ht="15" customHeight="1">
      <c r="A21" s="1" t="s">
        <v>94</v>
      </c>
      <c r="B21" s="1"/>
      <c r="C21" s="1"/>
      <c r="D21" s="1"/>
      <c r="E21" s="20"/>
      <c r="F21" s="20"/>
      <c r="G21" s="20">
        <v>9000</v>
      </c>
      <c r="H21" s="20">
        <v>7000</v>
      </c>
      <c r="J21" s="20">
        <f>SUM(E21:H21)</f>
        <v>16000</v>
      </c>
      <c r="K21" s="29">
        <f t="shared" si="0"/>
        <v>0.16326530612244897</v>
      </c>
      <c r="M21" s="20">
        <f>SUM(C21:H21)</f>
        <v>16000</v>
      </c>
      <c r="N21" s="29">
        <f>M21/$M$28</f>
        <v>0.14814814814814814</v>
      </c>
    </row>
    <row r="22" spans="1:15" ht="15" customHeight="1">
      <c r="A22" s="1" t="s">
        <v>95</v>
      </c>
      <c r="B22" s="1"/>
      <c r="C22" s="1"/>
      <c r="D22" s="1"/>
      <c r="E22" s="20"/>
      <c r="F22" s="20"/>
      <c r="G22" s="20">
        <v>9000</v>
      </c>
      <c r="H22" s="20"/>
      <c r="J22" s="20">
        <f>SUM(E22:H22)</f>
        <v>9000</v>
      </c>
      <c r="K22" s="29">
        <f t="shared" si="0"/>
        <v>9.1836734693877556E-2</v>
      </c>
      <c r="M22" s="20">
        <f>SUM(C22:H22)</f>
        <v>9000</v>
      </c>
      <c r="N22" s="29">
        <f>M22/$M$28</f>
        <v>8.3333333333333329E-2</v>
      </c>
    </row>
    <row r="23" spans="1:15" ht="15" customHeight="1">
      <c r="A23" s="22"/>
      <c r="B23" s="22"/>
      <c r="C23" s="22"/>
      <c r="D23" s="22"/>
      <c r="E23" s="20"/>
      <c r="F23" s="20"/>
      <c r="G23" s="20"/>
      <c r="H23" s="20"/>
      <c r="J23" s="20"/>
      <c r="M23" s="20"/>
      <c r="N23" s="29"/>
      <c r="O23" s="118">
        <f>SUM(N19:N22)</f>
        <v>0.4907407407407407</v>
      </c>
    </row>
    <row r="24" spans="1:15" ht="15" customHeight="1">
      <c r="A24" s="25" t="s">
        <v>3</v>
      </c>
      <c r="B24" s="25"/>
      <c r="C24" s="25"/>
      <c r="D24" s="25"/>
      <c r="E24" s="20"/>
      <c r="F24" s="20"/>
      <c r="G24" s="20"/>
      <c r="H24" s="20"/>
      <c r="J24" s="20"/>
      <c r="M24" s="20"/>
      <c r="N24" s="29"/>
    </row>
    <row r="25" spans="1:15" ht="15" customHeight="1">
      <c r="A25" s="1" t="s">
        <v>96</v>
      </c>
      <c r="B25" s="1"/>
      <c r="C25" s="20">
        <f>'VESOP + Reverse Vesting'!C19</f>
        <v>7500</v>
      </c>
      <c r="D25" s="1"/>
      <c r="F25" s="20"/>
      <c r="G25" s="20"/>
      <c r="H25" s="20"/>
      <c r="J25" s="20"/>
      <c r="M25" s="20">
        <f>SUM(C25:H25)</f>
        <v>7500</v>
      </c>
      <c r="N25" s="29">
        <f>M25/$M$28</f>
        <v>6.9444444444444448E-2</v>
      </c>
    </row>
    <row r="26" spans="1:15" ht="15" customHeight="1">
      <c r="A26" s="1" t="s">
        <v>28</v>
      </c>
      <c r="B26" s="1"/>
      <c r="C26" s="20">
        <f>2500</f>
        <v>2500</v>
      </c>
      <c r="D26" s="1"/>
      <c r="F26" s="5"/>
      <c r="G26" s="5"/>
      <c r="H26" s="31"/>
      <c r="I26" s="6"/>
      <c r="J26" s="31"/>
      <c r="K26" s="6"/>
      <c r="L26" s="6"/>
      <c r="M26" s="20">
        <f>SUM(C26:H26)</f>
        <v>2500</v>
      </c>
      <c r="N26" s="29">
        <f>M26/$M$28</f>
        <v>2.3148148148148147E-2</v>
      </c>
    </row>
    <row r="27" spans="1:15" ht="15" customHeight="1">
      <c r="A27" s="1"/>
      <c r="B27" s="1"/>
      <c r="C27" s="1"/>
      <c r="D27" s="1"/>
      <c r="E27" s="27"/>
      <c r="F27" s="26"/>
      <c r="G27" s="26"/>
      <c r="H27" s="28"/>
      <c r="I27" s="6"/>
      <c r="J27" s="6"/>
      <c r="K27" s="6"/>
      <c r="L27" s="6"/>
      <c r="M27" s="27"/>
      <c r="N27" s="7"/>
    </row>
    <row r="28" spans="1:15" ht="15" customHeight="1" thickBot="1">
      <c r="A28" s="8" t="s">
        <v>10</v>
      </c>
      <c r="B28" s="12"/>
      <c r="C28" s="32">
        <f>SUM(C11:C27)</f>
        <v>10000</v>
      </c>
      <c r="D28" s="12"/>
      <c r="E28" s="32">
        <f>SUM(E11:E27)</f>
        <v>45000</v>
      </c>
      <c r="F28" s="32">
        <f>SUM(F11:F27)</f>
        <v>3000</v>
      </c>
      <c r="G28" s="32">
        <f>SUM(G11:G27)</f>
        <v>36000</v>
      </c>
      <c r="H28" s="32">
        <f>SUM(H11:H27)</f>
        <v>14000</v>
      </c>
      <c r="I28" s="23"/>
      <c r="J28" s="32">
        <f>SUM(J11:J22)</f>
        <v>98000</v>
      </c>
      <c r="K28" s="9">
        <f>SUM(K11:K22)</f>
        <v>0.99999999999999989</v>
      </c>
      <c r="L28" s="23"/>
      <c r="M28" s="32">
        <f>SUM(M11:M26)</f>
        <v>108000</v>
      </c>
      <c r="N28" s="9">
        <f>SUM(N11:N26)</f>
        <v>1</v>
      </c>
    </row>
    <row r="29" spans="1:15" ht="15" customHeight="1">
      <c r="A29" s="11"/>
      <c r="B29" s="11"/>
      <c r="C29" s="11"/>
      <c r="D29" s="11"/>
      <c r="E29" s="11"/>
      <c r="F29" s="12"/>
      <c r="G29" s="12"/>
      <c r="H29" s="12"/>
      <c r="I29" s="12"/>
      <c r="J29" s="12"/>
      <c r="K29" s="12"/>
      <c r="L29" s="12"/>
      <c r="M29" s="12"/>
      <c r="N29" s="10"/>
    </row>
    <row r="30" spans="1:15" ht="15" customHeight="1">
      <c r="A30" s="13"/>
      <c r="B30" s="13"/>
      <c r="C30" s="13"/>
      <c r="D30" s="13"/>
      <c r="E30" s="13"/>
      <c r="F30" s="12"/>
      <c r="G30" s="12"/>
      <c r="H30" s="12"/>
      <c r="I30" s="12"/>
      <c r="J30" s="12"/>
      <c r="K30" s="12"/>
      <c r="L30" s="12"/>
      <c r="M30" s="12"/>
      <c r="N30" s="10"/>
    </row>
    <row r="31" spans="1:15" s="91" customFormat="1" ht="15" customHeight="1">
      <c r="A31" s="101" t="s">
        <v>56</v>
      </c>
      <c r="B31" s="102"/>
      <c r="C31" s="102"/>
      <c r="D31" s="102"/>
      <c r="E31" s="103"/>
      <c r="F31" s="12"/>
      <c r="G31" s="12"/>
      <c r="H31" s="12"/>
      <c r="I31" s="12"/>
      <c r="J31" s="12"/>
      <c r="K31" s="12"/>
      <c r="L31" s="12"/>
      <c r="M31" s="12"/>
    </row>
    <row r="32" spans="1:15" s="91" customFormat="1" ht="15" customHeight="1">
      <c r="A32" s="101" t="s">
        <v>80</v>
      </c>
      <c r="B32" s="102"/>
      <c r="C32" s="102"/>
      <c r="D32" s="102"/>
      <c r="E32" s="103"/>
      <c r="F32" s="2"/>
      <c r="G32" s="2"/>
      <c r="H32" s="2"/>
      <c r="I32" s="2"/>
      <c r="J32" s="2"/>
      <c r="K32" s="2"/>
      <c r="L32" s="2"/>
      <c r="M32" s="2"/>
    </row>
    <row r="33" spans="1:14" s="91" customFormat="1" ht="15" customHeight="1">
      <c r="A33" s="103"/>
      <c r="B33" s="103"/>
      <c r="C33" s="103"/>
      <c r="D33" s="103"/>
      <c r="E33" s="103"/>
      <c r="F33" s="12"/>
      <c r="G33" s="12"/>
      <c r="H33" s="12"/>
      <c r="I33" s="12"/>
      <c r="J33" s="96"/>
      <c r="K33" s="12"/>
      <c r="L33" s="12"/>
      <c r="M33" s="12"/>
    </row>
    <row r="35" spans="1:14" ht="15" customHeight="1">
      <c r="A35" s="4" t="s">
        <v>57</v>
      </c>
    </row>
    <row r="36" spans="1:14" ht="15" customHeight="1">
      <c r="A36" s="4" t="s">
        <v>58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4" ht="15" customHeight="1">
      <c r="A37" s="71" t="s">
        <v>59</v>
      </c>
    </row>
    <row r="38" spans="1:14" ht="15" customHeight="1">
      <c r="N38" s="10"/>
    </row>
    <row r="39" spans="1:14" ht="15" customHeight="1">
      <c r="N39" s="10"/>
    </row>
    <row r="40" spans="1:14" ht="15" customHeight="1">
      <c r="N40" s="10"/>
    </row>
    <row r="41" spans="1:14" ht="15" customHeight="1">
      <c r="N41" s="1"/>
    </row>
  </sheetData>
  <mergeCells count="4">
    <mergeCell ref="I1:N5"/>
    <mergeCell ref="A7:A8"/>
    <mergeCell ref="J7:K7"/>
    <mergeCell ref="M7:N7"/>
  </mergeCells>
  <pageMargins left="0.7" right="0.7" top="0.78740157499999996" bottom="0.78740157499999996" header="0.3" footer="0.3"/>
  <pageSetup paperSize="8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B4ED9-4377-415B-B5F4-FDD80F232A97}">
  <sheetPr codeName="Sheet2">
    <tabColor rgb="FF003145"/>
    <pageSetUpPr fitToPage="1"/>
  </sheetPr>
  <dimension ref="A1:S25"/>
  <sheetViews>
    <sheetView zoomScale="80" zoomScaleNormal="80" workbookViewId="0">
      <pane ySplit="5" topLeftCell="A6" activePane="bottomLeft" state="frozen"/>
      <selection pane="bottomLeft" activeCell="C38" sqref="C38"/>
    </sheetView>
  </sheetViews>
  <sheetFormatPr defaultColWidth="11.42578125" defaultRowHeight="15" customHeight="1"/>
  <cols>
    <col min="1" max="1" width="50" style="3" customWidth="1"/>
    <col min="2" max="2" width="2.42578125" style="3" customWidth="1"/>
    <col min="3" max="3" width="25.7109375" style="3" customWidth="1"/>
    <col min="4" max="4" width="1.7109375" style="3" customWidth="1"/>
    <col min="5" max="5" width="25.7109375" style="3" customWidth="1"/>
    <col min="6" max="6" width="1.7109375" style="3" customWidth="1"/>
    <col min="7" max="7" width="25.7109375" style="3" customWidth="1"/>
    <col min="8" max="8" width="1.7109375" style="3" customWidth="1"/>
    <col min="9" max="9" width="25.7109375" style="3" customWidth="1"/>
    <col min="10" max="10" width="1.7109375" style="3" customWidth="1"/>
    <col min="11" max="11" width="26.28515625" style="3" customWidth="1"/>
    <col min="12" max="12" width="1.7109375" style="3" customWidth="1"/>
    <col min="13" max="13" width="26.28515625" style="3" customWidth="1"/>
    <col min="14" max="14" width="7.42578125" style="3" customWidth="1"/>
    <col min="15" max="15" width="11" style="110" customWidth="1"/>
    <col min="16" max="16" width="37.140625" style="111" customWidth="1"/>
    <col min="17" max="17" width="21.140625" customWidth="1"/>
    <col min="18" max="18" width="1.42578125" style="112" customWidth="1"/>
    <col min="19" max="19" width="22.5703125" style="111" customWidth="1"/>
    <col min="20" max="16384" width="11.42578125" style="3"/>
  </cols>
  <sheetData>
    <row r="1" spans="1:19" ht="18" customHeight="1">
      <c r="A1" s="16"/>
      <c r="B1" s="16"/>
      <c r="C1" s="18"/>
      <c r="D1" s="18"/>
      <c r="E1" s="16"/>
      <c r="F1" s="264"/>
      <c r="G1" s="264"/>
      <c r="H1" s="264"/>
      <c r="I1" s="264"/>
      <c r="J1" s="18"/>
      <c r="K1" s="18"/>
      <c r="L1" s="18"/>
      <c r="M1" s="18"/>
    </row>
    <row r="2" spans="1:19" ht="15" customHeight="1">
      <c r="A2" s="16"/>
      <c r="B2" s="18"/>
      <c r="C2" s="18"/>
      <c r="D2" s="18"/>
      <c r="E2" s="16"/>
      <c r="F2" s="264"/>
      <c r="G2" s="264"/>
      <c r="H2" s="264"/>
      <c r="I2" s="264"/>
      <c r="J2" s="18"/>
      <c r="K2" s="18"/>
      <c r="L2" s="18"/>
      <c r="M2" s="18"/>
    </row>
    <row r="3" spans="1:19" ht="15" customHeight="1">
      <c r="A3" s="16"/>
      <c r="B3" s="18"/>
      <c r="C3" s="18"/>
      <c r="D3" s="18"/>
      <c r="E3" s="17" t="s">
        <v>4</v>
      </c>
      <c r="F3" s="264"/>
      <c r="G3" s="264"/>
      <c r="H3" s="264"/>
      <c r="I3" s="264"/>
      <c r="J3" s="18"/>
      <c r="K3" s="18"/>
      <c r="L3" s="18"/>
      <c r="M3" s="18"/>
    </row>
    <row r="4" spans="1:19" ht="15" customHeight="1">
      <c r="A4" s="16"/>
      <c r="B4" s="18"/>
      <c r="C4" s="18"/>
      <c r="D4" s="18"/>
      <c r="E4" s="16"/>
      <c r="F4" s="264"/>
      <c r="G4" s="264"/>
      <c r="H4" s="264"/>
      <c r="I4" s="264"/>
      <c r="J4" s="18"/>
      <c r="K4" s="18"/>
      <c r="L4" s="18"/>
      <c r="M4" s="18"/>
    </row>
    <row r="5" spans="1:19" ht="15" customHeight="1">
      <c r="A5" s="16"/>
      <c r="B5" s="16"/>
      <c r="C5" s="18"/>
      <c r="D5" s="18"/>
      <c r="E5" s="16"/>
      <c r="F5" s="264"/>
      <c r="G5" s="264"/>
      <c r="H5" s="264"/>
      <c r="I5" s="264"/>
      <c r="J5" s="18"/>
      <c r="K5" s="18"/>
      <c r="L5" s="18"/>
      <c r="M5" s="18"/>
    </row>
    <row r="6" spans="1:19" ht="15" customHeight="1">
      <c r="C6" s="108"/>
      <c r="G6" s="15"/>
      <c r="H6" s="15"/>
      <c r="I6" s="15"/>
    </row>
    <row r="7" spans="1:19" ht="15" customHeight="1">
      <c r="A7" s="91" t="s">
        <v>97</v>
      </c>
      <c r="C7" s="108">
        <f ca="1">'Post Completion'!C40</f>
        <v>16409</v>
      </c>
      <c r="G7" s="15"/>
      <c r="H7" s="15"/>
      <c r="I7" s="15"/>
    </row>
    <row r="8" spans="1:19" ht="15" customHeight="1">
      <c r="A8" s="91" t="s">
        <v>98</v>
      </c>
      <c r="C8" s="108">
        <f>C19</f>
        <v>7500</v>
      </c>
      <c r="G8" s="15"/>
      <c r="H8" s="15"/>
      <c r="I8" s="15"/>
      <c r="O8" s="3"/>
      <c r="P8" s="3"/>
      <c r="Q8" s="3"/>
      <c r="R8" s="3"/>
      <c r="S8" s="3"/>
    </row>
    <row r="9" spans="1:19" ht="15" customHeight="1">
      <c r="A9" s="91" t="s">
        <v>99</v>
      </c>
      <c r="C9" s="108">
        <f ca="1">'Post Completion'!C38</f>
        <v>8909</v>
      </c>
      <c r="G9" s="15"/>
      <c r="H9" s="15"/>
      <c r="I9" s="15"/>
      <c r="O9" s="3"/>
      <c r="P9" s="3"/>
      <c r="Q9" s="3"/>
      <c r="R9" s="3"/>
      <c r="S9" s="3"/>
    </row>
    <row r="10" spans="1:19" ht="15" customHeight="1">
      <c r="A10" s="91" t="s">
        <v>100</v>
      </c>
      <c r="C10" s="105">
        <f>'Subscriptions - Series C'!C36</f>
        <v>0.1</v>
      </c>
      <c r="G10" s="15"/>
      <c r="H10" s="15"/>
      <c r="I10" s="15"/>
      <c r="O10" s="3"/>
      <c r="P10" s="3"/>
      <c r="Q10" s="3"/>
      <c r="R10" s="3"/>
      <c r="S10" s="3"/>
    </row>
    <row r="11" spans="1:19" ht="15" customHeight="1">
      <c r="G11" s="15"/>
      <c r="H11" s="15"/>
      <c r="I11" s="15"/>
      <c r="O11" s="3"/>
      <c r="P11" s="3"/>
      <c r="Q11" s="3"/>
      <c r="R11" s="3"/>
      <c r="S11" s="3"/>
    </row>
    <row r="12" spans="1:19" ht="15" customHeight="1">
      <c r="A12" s="268" t="s">
        <v>180</v>
      </c>
      <c r="C12" s="269" t="s">
        <v>111</v>
      </c>
      <c r="D12" s="35"/>
      <c r="E12" s="267" t="s">
        <v>101</v>
      </c>
      <c r="F12" s="35"/>
      <c r="G12" s="267" t="s">
        <v>102</v>
      </c>
      <c r="H12" s="15"/>
      <c r="I12" s="267" t="s">
        <v>103</v>
      </c>
      <c r="K12" s="267" t="s">
        <v>110</v>
      </c>
      <c r="M12" s="267" t="s">
        <v>104</v>
      </c>
      <c r="O12" s="3"/>
      <c r="P12" s="3"/>
      <c r="Q12" s="3"/>
      <c r="R12" s="3"/>
      <c r="S12" s="3"/>
    </row>
    <row r="13" spans="1:19" ht="15" customHeight="1">
      <c r="A13" s="268"/>
      <c r="C13" s="269"/>
      <c r="D13" s="19"/>
      <c r="E13" s="267"/>
      <c r="F13" s="19"/>
      <c r="G13" s="267"/>
      <c r="H13" s="15"/>
      <c r="I13" s="267"/>
      <c r="K13" s="267"/>
      <c r="M13" s="267"/>
      <c r="O13" s="3"/>
      <c r="P13" s="3"/>
      <c r="Q13" s="3"/>
      <c r="R13" s="3"/>
      <c r="S13" s="3"/>
    </row>
    <row r="14" spans="1:19" ht="15" customHeight="1">
      <c r="G14" s="15"/>
      <c r="H14" s="15"/>
      <c r="I14" s="38"/>
      <c r="O14" s="3"/>
      <c r="P14" s="3"/>
      <c r="Q14" s="3"/>
      <c r="R14" s="3"/>
      <c r="S14" s="3"/>
    </row>
    <row r="15" spans="1:19" ht="15" customHeight="1">
      <c r="A15" s="1" t="s">
        <v>105</v>
      </c>
      <c r="C15" s="108">
        <v>2500</v>
      </c>
      <c r="E15" s="67">
        <v>120</v>
      </c>
      <c r="G15" s="106" t="s">
        <v>108</v>
      </c>
      <c r="H15" s="91"/>
      <c r="I15" s="107" t="s">
        <v>109</v>
      </c>
      <c r="K15" s="119" t="s">
        <v>164</v>
      </c>
      <c r="M15" s="106" t="s">
        <v>165</v>
      </c>
      <c r="O15" s="3"/>
      <c r="P15" s="3"/>
      <c r="Q15" s="3"/>
      <c r="R15" s="3"/>
      <c r="S15" s="3"/>
    </row>
    <row r="16" spans="1:19" ht="15" customHeight="1">
      <c r="A16" s="1" t="s">
        <v>106</v>
      </c>
      <c r="C16" s="108">
        <v>2500</v>
      </c>
      <c r="E16" s="67">
        <v>120</v>
      </c>
      <c r="G16" s="106" t="s">
        <v>108</v>
      </c>
      <c r="H16" s="91"/>
      <c r="I16" s="107" t="s">
        <v>109</v>
      </c>
      <c r="K16" s="119" t="s">
        <v>164</v>
      </c>
      <c r="M16" s="106" t="s">
        <v>165</v>
      </c>
      <c r="O16" s="3"/>
      <c r="P16" s="3"/>
      <c r="Q16" s="3"/>
      <c r="R16" s="3"/>
      <c r="S16" s="3"/>
    </row>
    <row r="17" spans="1:19" ht="15" customHeight="1">
      <c r="A17" s="1" t="s">
        <v>107</v>
      </c>
      <c r="C17" s="108">
        <v>2500</v>
      </c>
      <c r="E17" s="67">
        <v>120</v>
      </c>
      <c r="G17" s="106" t="s">
        <v>108</v>
      </c>
      <c r="H17" s="91"/>
      <c r="I17" s="107" t="s">
        <v>109</v>
      </c>
      <c r="K17" s="119" t="s">
        <v>164</v>
      </c>
      <c r="M17" s="106" t="s">
        <v>165</v>
      </c>
      <c r="O17" s="3"/>
      <c r="P17" s="3"/>
      <c r="Q17" s="3"/>
      <c r="R17" s="3"/>
      <c r="S17" s="3"/>
    </row>
    <row r="18" spans="1:19" ht="15" customHeight="1">
      <c r="A18" s="34"/>
      <c r="C18" s="108"/>
      <c r="E18" s="30"/>
      <c r="G18" s="37"/>
      <c r="I18" s="38"/>
      <c r="O18" s="3"/>
      <c r="P18" s="3"/>
      <c r="Q18" s="3"/>
      <c r="R18" s="3"/>
      <c r="S18" s="3"/>
    </row>
    <row r="19" spans="1:19" ht="15" customHeight="1" thickBot="1">
      <c r="A19" s="73" t="s">
        <v>10</v>
      </c>
      <c r="B19" s="42"/>
      <c r="C19" s="109">
        <f>SUM(C15:C17)</f>
        <v>7500</v>
      </c>
      <c r="D19" s="42"/>
      <c r="E19" s="78"/>
      <c r="F19" s="42"/>
      <c r="G19" s="74"/>
      <c r="H19" s="42"/>
      <c r="I19" s="78"/>
      <c r="J19" s="41"/>
      <c r="K19" s="78"/>
      <c r="L19" s="41"/>
      <c r="M19" s="78"/>
      <c r="O19" s="3"/>
      <c r="P19" s="3"/>
      <c r="Q19" s="3"/>
      <c r="R19" s="3"/>
      <c r="S19" s="3"/>
    </row>
    <row r="20" spans="1:19" ht="15" customHeight="1">
      <c r="A20" s="42"/>
      <c r="B20" s="42"/>
      <c r="C20" s="187"/>
      <c r="D20" s="42"/>
      <c r="E20" s="188"/>
      <c r="F20" s="42"/>
      <c r="G20" s="189"/>
      <c r="H20" s="42"/>
      <c r="I20" s="188"/>
      <c r="J20" s="41"/>
      <c r="K20" s="188"/>
      <c r="L20" s="41"/>
      <c r="M20" s="188"/>
      <c r="O20" s="3"/>
      <c r="P20" s="3"/>
      <c r="Q20" s="3"/>
      <c r="R20" s="3"/>
      <c r="S20" s="3"/>
    </row>
    <row r="21" spans="1:19" ht="15" customHeight="1">
      <c r="G21" s="41"/>
      <c r="O21" s="3"/>
      <c r="P21" s="3"/>
      <c r="Q21" s="3"/>
      <c r="R21" s="3"/>
      <c r="S21" s="3"/>
    </row>
    <row r="22" spans="1:19" ht="15" customHeight="1">
      <c r="A22" s="268" t="s">
        <v>178</v>
      </c>
      <c r="B22" s="111"/>
      <c r="C22" s="269" t="s">
        <v>179</v>
      </c>
      <c r="D22" s="112"/>
      <c r="E22" s="269" t="s">
        <v>25</v>
      </c>
      <c r="F22" s="35"/>
      <c r="G22" s="267" t="s">
        <v>102</v>
      </c>
      <c r="H22" s="15"/>
      <c r="I22" s="267" t="s">
        <v>103</v>
      </c>
      <c r="K22" s="267" t="s">
        <v>110</v>
      </c>
      <c r="M22" s="267" t="s">
        <v>104</v>
      </c>
    </row>
    <row r="23" spans="1:19" ht="15" customHeight="1">
      <c r="A23" s="268"/>
      <c r="B23" s="111"/>
      <c r="C23" s="269"/>
      <c r="D23" s="112"/>
      <c r="E23" s="269"/>
      <c r="F23" s="19"/>
      <c r="G23" s="267"/>
      <c r="H23" s="15"/>
      <c r="I23" s="267"/>
      <c r="K23" s="267"/>
      <c r="M23" s="267"/>
    </row>
    <row r="24" spans="1:19" ht="15" customHeight="1">
      <c r="A24" s="3" t="str">
        <f>'Current Capitalisation -XX.2024'!A11</f>
        <v>[Founder 1]</v>
      </c>
      <c r="C24" s="190">
        <v>1</v>
      </c>
      <c r="E24" s="20">
        <f>C24*'Current Capitalisation -XX.2024'!E11</f>
        <v>12500</v>
      </c>
      <c r="G24" s="106" t="s">
        <v>108</v>
      </c>
      <c r="H24" s="91"/>
      <c r="I24" s="107" t="s">
        <v>109</v>
      </c>
      <c r="K24" s="120" t="str">
        <f>'Vesting Schedule '!C9</f>
        <v>XX.XX.202X</v>
      </c>
      <c r="M24" s="106" t="s">
        <v>165</v>
      </c>
      <c r="O24" s="3"/>
      <c r="P24" s="3"/>
      <c r="Q24" s="3"/>
      <c r="R24" s="3"/>
      <c r="S24" s="3"/>
    </row>
    <row r="25" spans="1:19" ht="15" customHeight="1">
      <c r="A25" s="3" t="str">
        <f>'Current Capitalisation -XX.2024'!A12</f>
        <v>[Founder 2]</v>
      </c>
      <c r="C25" s="190">
        <v>1</v>
      </c>
      <c r="E25" s="20">
        <f>C25*'Current Capitalisation -XX.2024'!E12</f>
        <v>12500</v>
      </c>
      <c r="G25" s="106" t="s">
        <v>108</v>
      </c>
      <c r="H25" s="91"/>
      <c r="I25" s="107" t="s">
        <v>109</v>
      </c>
      <c r="K25" s="120" t="str">
        <f>'Vesting Schedule '!F9</f>
        <v>XX.XX.202X</v>
      </c>
      <c r="M25" s="106" t="s">
        <v>165</v>
      </c>
      <c r="O25" s="3"/>
      <c r="P25" s="3"/>
      <c r="Q25" s="3"/>
      <c r="R25" s="3"/>
      <c r="S25" s="3"/>
    </row>
  </sheetData>
  <mergeCells count="15">
    <mergeCell ref="I22:I23"/>
    <mergeCell ref="K22:K23"/>
    <mergeCell ref="M22:M23"/>
    <mergeCell ref="C22:C23"/>
    <mergeCell ref="A22:A23"/>
    <mergeCell ref="E22:E23"/>
    <mergeCell ref="G22:G23"/>
    <mergeCell ref="K12:K13"/>
    <mergeCell ref="M12:M13"/>
    <mergeCell ref="F1:I5"/>
    <mergeCell ref="A12:A13"/>
    <mergeCell ref="C12:C13"/>
    <mergeCell ref="E12:E13"/>
    <mergeCell ref="G12:G13"/>
    <mergeCell ref="I12:I13"/>
  </mergeCells>
  <pageMargins left="0.7" right="0.7" top="0.78740157499999996" bottom="0.78740157499999996" header="0.3" footer="0.3"/>
  <pageSetup paperSize="8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A9F3A-EFC4-43FA-B3E5-1A7F96DFD534}">
  <sheetPr codeName="Sheet13">
    <tabColor rgb="FF003145"/>
    <pageSetUpPr fitToPage="1"/>
  </sheetPr>
  <dimension ref="A1:Q123"/>
  <sheetViews>
    <sheetView zoomScale="80" zoomScaleNormal="80" workbookViewId="0">
      <pane ySplit="5" topLeftCell="A6" activePane="bottomLeft" state="frozen"/>
      <selection pane="bottomLeft" activeCell="J22" sqref="J22"/>
    </sheetView>
  </sheetViews>
  <sheetFormatPr defaultColWidth="11.42578125" defaultRowHeight="15" customHeight="1"/>
  <cols>
    <col min="1" max="1" width="15.85546875" style="91" customWidth="1"/>
    <col min="2" max="2" width="41.7109375" style="91" customWidth="1"/>
    <col min="3" max="3" width="17.7109375" style="91" customWidth="1"/>
    <col min="4" max="4" width="1.7109375" style="91" customWidth="1"/>
    <col min="5" max="6" width="17.7109375" style="91" customWidth="1"/>
    <col min="7" max="7" width="1.7109375" style="91" customWidth="1"/>
    <col min="8" max="8" width="17.7109375" style="91" customWidth="1"/>
    <col min="9" max="9" width="18.7109375" style="91" customWidth="1"/>
    <col min="10" max="10" width="25.7109375" style="91" customWidth="1"/>
    <col min="11" max="11" width="1.7109375" style="91" customWidth="1"/>
    <col min="12" max="12" width="7.42578125" style="91" customWidth="1"/>
    <col min="13" max="13" width="11" style="122" customWidth="1"/>
    <col min="14" max="14" width="37.140625" style="123" customWidth="1"/>
    <col min="15" max="15" width="21.140625" style="124" customWidth="1"/>
    <col min="16" max="16" width="1.42578125" style="125" customWidth="1"/>
    <col min="17" max="17" width="22.5703125" style="123" customWidth="1"/>
    <col min="18" max="16384" width="11.42578125" style="91"/>
  </cols>
  <sheetData>
    <row r="1" spans="1:17" ht="18" customHeight="1">
      <c r="A1" s="16"/>
      <c r="B1" s="16"/>
      <c r="C1" s="121"/>
      <c r="D1" s="121"/>
      <c r="E1" s="16"/>
      <c r="F1" s="121"/>
      <c r="G1" s="121"/>
      <c r="H1" s="16"/>
      <c r="I1" s="264"/>
      <c r="J1" s="264"/>
      <c r="K1" s="264"/>
    </row>
    <row r="2" spans="1:17" ht="15" customHeight="1">
      <c r="A2" s="16"/>
      <c r="B2" s="121"/>
      <c r="C2" s="121"/>
      <c r="D2" s="121"/>
      <c r="E2" s="16"/>
      <c r="F2" s="121"/>
      <c r="G2" s="121"/>
      <c r="H2" s="16"/>
      <c r="I2" s="264"/>
      <c r="J2" s="264"/>
      <c r="K2" s="264"/>
    </row>
    <row r="3" spans="1:17" ht="15" customHeight="1">
      <c r="A3" s="16"/>
      <c r="B3" s="121"/>
      <c r="C3" s="121"/>
      <c r="D3" s="121"/>
      <c r="E3" s="17" t="s">
        <v>4</v>
      </c>
      <c r="F3" s="121"/>
      <c r="G3" s="121"/>
      <c r="H3" s="17" t="s">
        <v>4</v>
      </c>
      <c r="I3" s="264"/>
      <c r="J3" s="264"/>
      <c r="K3" s="264"/>
    </row>
    <row r="4" spans="1:17" ht="15" customHeight="1">
      <c r="A4" s="16"/>
      <c r="B4" s="121"/>
      <c r="C4" s="121"/>
      <c r="D4" s="121"/>
      <c r="E4" s="16"/>
      <c r="F4" s="121"/>
      <c r="G4" s="121"/>
      <c r="H4" s="16"/>
      <c r="I4" s="264"/>
      <c r="J4" s="264"/>
      <c r="K4" s="264"/>
    </row>
    <row r="5" spans="1:17" ht="15" customHeight="1">
      <c r="A5" s="16"/>
      <c r="B5" s="16"/>
      <c r="C5" s="121"/>
      <c r="D5" s="121"/>
      <c r="E5" s="16"/>
      <c r="F5" s="121"/>
      <c r="G5" s="121"/>
      <c r="H5" s="16"/>
      <c r="I5" s="264"/>
      <c r="J5" s="264"/>
      <c r="K5" s="264"/>
    </row>
    <row r="6" spans="1:17" ht="15" customHeight="1">
      <c r="A6" s="115"/>
      <c r="B6" s="116"/>
      <c r="C6" s="279"/>
      <c r="D6" s="280"/>
      <c r="E6" s="281"/>
      <c r="F6" s="279"/>
      <c r="G6" s="280"/>
      <c r="H6" s="281"/>
      <c r="I6" s="135"/>
      <c r="J6" s="135"/>
      <c r="M6" s="91"/>
      <c r="N6" s="91"/>
      <c r="O6" s="91"/>
      <c r="P6" s="91"/>
      <c r="Q6" s="91"/>
    </row>
    <row r="7" spans="1:17" ht="32.25" customHeight="1">
      <c r="A7" s="274" t="s">
        <v>159</v>
      </c>
      <c r="B7" s="275"/>
      <c r="C7" s="276" t="s">
        <v>158</v>
      </c>
      <c r="D7" s="277"/>
      <c r="E7" s="278"/>
      <c r="F7" s="276" t="s">
        <v>158</v>
      </c>
      <c r="G7" s="277"/>
      <c r="H7" s="278"/>
      <c r="I7" s="270" t="s">
        <v>163</v>
      </c>
      <c r="J7" s="271"/>
      <c r="M7" s="91"/>
      <c r="N7" s="91"/>
      <c r="O7" s="91"/>
      <c r="P7" s="91"/>
      <c r="Q7" s="91"/>
    </row>
    <row r="8" spans="1:17" ht="15" customHeight="1">
      <c r="A8" s="115"/>
      <c r="B8" s="116"/>
      <c r="C8" s="279" t="s">
        <v>160</v>
      </c>
      <c r="D8" s="280"/>
      <c r="E8" s="281"/>
      <c r="F8" s="279" t="s">
        <v>161</v>
      </c>
      <c r="G8" s="280"/>
      <c r="H8" s="281"/>
      <c r="I8" s="135"/>
      <c r="J8" s="135"/>
      <c r="M8" s="91"/>
      <c r="N8" s="91"/>
      <c r="O8" s="91"/>
      <c r="P8" s="91"/>
      <c r="Q8" s="91"/>
    </row>
    <row r="9" spans="1:17" ht="18.75" customHeight="1">
      <c r="A9" s="272" t="s">
        <v>112</v>
      </c>
      <c r="B9" s="273"/>
      <c r="C9" s="117" t="s">
        <v>162</v>
      </c>
      <c r="D9" s="113"/>
      <c r="E9" s="114"/>
      <c r="F9" s="117" t="s">
        <v>162</v>
      </c>
      <c r="G9" s="113"/>
      <c r="H9" s="114"/>
      <c r="I9" s="135"/>
      <c r="J9" s="135"/>
      <c r="M9" s="91"/>
      <c r="N9" s="91"/>
      <c r="O9" s="91"/>
      <c r="P9" s="91"/>
      <c r="Q9" s="91"/>
    </row>
    <row r="10" spans="1:17" ht="15" customHeight="1">
      <c r="A10" s="136" t="s">
        <v>113</v>
      </c>
      <c r="B10" s="137" t="s">
        <v>114</v>
      </c>
      <c r="C10" s="138" t="s">
        <v>115</v>
      </c>
      <c r="D10" s="139"/>
      <c r="E10" s="140">
        <f>'Current Capitalisation -XX.2024'!E11</f>
        <v>12500</v>
      </c>
      <c r="F10" s="138" t="s">
        <v>115</v>
      </c>
      <c r="G10" s="139"/>
      <c r="H10" s="140">
        <f>'Current Capitalisation -XX.2024'!E12</f>
        <v>12500</v>
      </c>
      <c r="I10" s="135"/>
      <c r="J10" s="135"/>
      <c r="M10" s="91"/>
      <c r="N10" s="91"/>
      <c r="O10" s="91"/>
      <c r="P10" s="91"/>
      <c r="Q10" s="91"/>
    </row>
    <row r="11" spans="1:17" ht="15" customHeight="1">
      <c r="A11" s="141" t="s">
        <v>116</v>
      </c>
      <c r="B11" s="142" t="s">
        <v>117</v>
      </c>
      <c r="C11" s="143" t="s">
        <v>118</v>
      </c>
      <c r="D11" s="144"/>
      <c r="E11" s="145"/>
      <c r="F11" s="143" t="s">
        <v>118</v>
      </c>
      <c r="G11" s="144"/>
      <c r="H11" s="145"/>
      <c r="I11" s="135"/>
      <c r="J11" s="135"/>
      <c r="M11" s="91"/>
      <c r="N11" s="91"/>
      <c r="O11" s="91"/>
      <c r="P11" s="91"/>
      <c r="Q11" s="91"/>
    </row>
    <row r="12" spans="1:17" ht="15" customHeight="1">
      <c r="A12" s="146"/>
      <c r="B12" s="147"/>
      <c r="C12" s="148">
        <f>1</f>
        <v>1</v>
      </c>
      <c r="D12" s="149" t="s">
        <v>119</v>
      </c>
      <c r="E12" s="150">
        <v>12500</v>
      </c>
      <c r="F12" s="148">
        <f>H12-H10+1</f>
        <v>12501</v>
      </c>
      <c r="G12" s="149" t="s">
        <v>119</v>
      </c>
      <c r="H12" s="150">
        <v>25000</v>
      </c>
      <c r="I12" s="135"/>
      <c r="J12" s="135"/>
      <c r="M12" s="91"/>
      <c r="N12" s="91"/>
      <c r="O12" s="91"/>
      <c r="P12" s="91"/>
      <c r="Q12" s="91"/>
    </row>
    <row r="13" spans="1:17" ht="15" customHeight="1">
      <c r="A13" s="136" t="s">
        <v>113</v>
      </c>
      <c r="B13" s="137" t="s">
        <v>120</v>
      </c>
      <c r="C13" s="151" t="s">
        <v>115</v>
      </c>
      <c r="D13" s="139"/>
      <c r="E13" s="152">
        <f>E10*0.75</f>
        <v>9375</v>
      </c>
      <c r="F13" s="151" t="s">
        <v>115</v>
      </c>
      <c r="G13" s="139"/>
      <c r="H13" s="152">
        <f>H10*0.75</f>
        <v>9375</v>
      </c>
      <c r="I13" s="135"/>
      <c r="J13" s="135"/>
      <c r="M13" s="91"/>
      <c r="N13" s="91"/>
      <c r="O13" s="91"/>
      <c r="P13" s="91"/>
      <c r="Q13" s="91"/>
    </row>
    <row r="14" spans="1:17" ht="15" customHeight="1">
      <c r="A14" s="141" t="s">
        <v>116</v>
      </c>
      <c r="B14" s="142" t="s">
        <v>121</v>
      </c>
      <c r="C14" s="143" t="s">
        <v>118</v>
      </c>
      <c r="D14" s="144"/>
      <c r="E14" s="145"/>
      <c r="F14" s="143" t="s">
        <v>118</v>
      </c>
      <c r="G14" s="144"/>
      <c r="H14" s="145"/>
      <c r="I14" s="135"/>
      <c r="J14" s="135"/>
      <c r="M14" s="91"/>
      <c r="N14" s="91"/>
      <c r="O14" s="91"/>
      <c r="P14" s="91"/>
      <c r="Q14" s="91"/>
    </row>
    <row r="15" spans="1:17" ht="15" customHeight="1">
      <c r="A15" s="146"/>
      <c r="B15" s="147"/>
      <c r="C15" s="153">
        <f>E12-E13+1</f>
        <v>3126</v>
      </c>
      <c r="D15" s="154" t="s">
        <v>119</v>
      </c>
      <c r="E15" s="155">
        <f>E18</f>
        <v>12500</v>
      </c>
      <c r="F15" s="153">
        <f>H12-H13+1</f>
        <v>15626</v>
      </c>
      <c r="G15" s="154" t="s">
        <v>119</v>
      </c>
      <c r="H15" s="155">
        <f>H18</f>
        <v>25000</v>
      </c>
      <c r="I15" s="135"/>
      <c r="J15" s="135"/>
      <c r="M15" s="91"/>
      <c r="N15" s="91"/>
      <c r="O15" s="91"/>
      <c r="P15" s="91"/>
      <c r="Q15" s="91"/>
    </row>
    <row r="16" spans="1:17" ht="15" customHeight="1">
      <c r="A16" s="136" t="s">
        <v>113</v>
      </c>
      <c r="B16" s="137" t="str">
        <f>B14</f>
        <v>1 month after lapse of Cliff Period</v>
      </c>
      <c r="C16" s="156" t="s">
        <v>115</v>
      </c>
      <c r="D16" s="157"/>
      <c r="E16" s="158">
        <f>E13-($E$10/48)</f>
        <v>9114.5833333333339</v>
      </c>
      <c r="F16" s="156" t="s">
        <v>115</v>
      </c>
      <c r="G16" s="157"/>
      <c r="H16" s="158">
        <f>H13-($H$10/48)</f>
        <v>9114.5833333333339</v>
      </c>
      <c r="I16" s="135"/>
      <c r="J16" s="135"/>
      <c r="M16" s="91"/>
      <c r="N16" s="91"/>
      <c r="O16" s="91"/>
      <c r="P16" s="91"/>
      <c r="Q16" s="91"/>
    </row>
    <row r="17" spans="1:17" ht="15" customHeight="1">
      <c r="A17" s="141" t="s">
        <v>116</v>
      </c>
      <c r="B17" s="142" t="s">
        <v>122</v>
      </c>
      <c r="C17" s="159" t="s">
        <v>118</v>
      </c>
      <c r="D17" s="160"/>
      <c r="E17" s="161"/>
      <c r="F17" s="159" t="s">
        <v>118</v>
      </c>
      <c r="G17" s="160"/>
      <c r="H17" s="161"/>
      <c r="I17" s="135"/>
      <c r="J17" s="135"/>
      <c r="M17" s="91"/>
      <c r="N17" s="91"/>
      <c r="O17" s="91"/>
      <c r="P17" s="91"/>
      <c r="Q17" s="91"/>
    </row>
    <row r="18" spans="1:17" ht="15" customHeight="1">
      <c r="A18" s="162"/>
      <c r="B18" s="163"/>
      <c r="C18" s="164">
        <f>E12-E16+1</f>
        <v>3386.4166666666661</v>
      </c>
      <c r="D18" s="165" t="s">
        <v>119</v>
      </c>
      <c r="E18" s="166">
        <f>E12</f>
        <v>12500</v>
      </c>
      <c r="F18" s="164">
        <f>H12-H16+1</f>
        <v>15886.416666666666</v>
      </c>
      <c r="G18" s="165" t="s">
        <v>119</v>
      </c>
      <c r="H18" s="166">
        <f>H12</f>
        <v>25000</v>
      </c>
      <c r="I18" s="135"/>
      <c r="J18" s="135"/>
      <c r="M18" s="91"/>
      <c r="N18" s="91"/>
      <c r="O18" s="91"/>
      <c r="P18" s="91"/>
      <c r="Q18" s="91"/>
    </row>
    <row r="19" spans="1:17" ht="15" customHeight="1">
      <c r="A19" s="136" t="s">
        <v>113</v>
      </c>
      <c r="B19" s="137" t="str">
        <f>B17</f>
        <v>2 months after lapse of Cliff Period</v>
      </c>
      <c r="C19" s="156" t="s">
        <v>115</v>
      </c>
      <c r="D19" s="157"/>
      <c r="E19" s="158">
        <f>E16-($E$10/48)</f>
        <v>8854.1666666666679</v>
      </c>
      <c r="F19" s="156" t="s">
        <v>115</v>
      </c>
      <c r="G19" s="157"/>
      <c r="H19" s="158">
        <f>H16-($H$10/48)</f>
        <v>8854.1666666666679</v>
      </c>
      <c r="I19" s="135"/>
      <c r="J19" s="135"/>
      <c r="M19" s="91"/>
      <c r="N19" s="91"/>
      <c r="O19" s="91"/>
      <c r="P19" s="91"/>
      <c r="Q19" s="91"/>
    </row>
    <row r="20" spans="1:17" ht="15" customHeight="1">
      <c r="A20" s="141" t="s">
        <v>116</v>
      </c>
      <c r="B20" s="142" t="s">
        <v>123</v>
      </c>
      <c r="C20" s="159" t="s">
        <v>124</v>
      </c>
      <c r="D20" s="160"/>
      <c r="E20" s="161"/>
      <c r="F20" s="159" t="s">
        <v>124</v>
      </c>
      <c r="G20" s="160"/>
      <c r="H20" s="161"/>
      <c r="I20" s="135"/>
      <c r="J20" s="135"/>
      <c r="M20" s="91"/>
      <c r="N20" s="91"/>
      <c r="O20" s="91"/>
      <c r="P20" s="91"/>
      <c r="Q20" s="91"/>
    </row>
    <row r="21" spans="1:17" ht="15" customHeight="1">
      <c r="A21" s="146"/>
      <c r="B21" s="147"/>
      <c r="C21" s="167">
        <f>E12-E19+1</f>
        <v>3646.8333333333321</v>
      </c>
      <c r="D21" s="168" t="s">
        <v>119</v>
      </c>
      <c r="E21" s="169">
        <f>E12</f>
        <v>12500</v>
      </c>
      <c r="F21" s="167">
        <f>H12-H19+1</f>
        <v>16146.833333333332</v>
      </c>
      <c r="G21" s="168" t="s">
        <v>119</v>
      </c>
      <c r="H21" s="169">
        <f>H12</f>
        <v>25000</v>
      </c>
      <c r="I21" s="135"/>
      <c r="J21" s="135"/>
      <c r="M21" s="91"/>
      <c r="N21" s="91"/>
      <c r="O21" s="91"/>
      <c r="P21" s="91"/>
      <c r="Q21" s="91"/>
    </row>
    <row r="22" spans="1:17" ht="15" customHeight="1">
      <c r="A22" s="136" t="s">
        <v>113</v>
      </c>
      <c r="B22" s="137" t="str">
        <f>B20</f>
        <v>3 months after lapse of Cliff Period</v>
      </c>
      <c r="C22" s="156" t="s">
        <v>115</v>
      </c>
      <c r="D22" s="157"/>
      <c r="E22" s="158">
        <f>E19-($E$10/48)</f>
        <v>8593.7500000000018</v>
      </c>
      <c r="F22" s="156" t="s">
        <v>115</v>
      </c>
      <c r="G22" s="157"/>
      <c r="H22" s="158">
        <f>H19-($H$10/48)</f>
        <v>8593.7500000000018</v>
      </c>
      <c r="I22" s="135"/>
      <c r="J22" s="135"/>
      <c r="M22" s="91"/>
      <c r="N22" s="91"/>
      <c r="O22" s="91"/>
      <c r="P22" s="91"/>
      <c r="Q22" s="91"/>
    </row>
    <row r="23" spans="1:17" ht="15" customHeight="1">
      <c r="A23" s="141" t="s">
        <v>116</v>
      </c>
      <c r="B23" s="142" t="s">
        <v>125</v>
      </c>
      <c r="C23" s="159" t="s">
        <v>124</v>
      </c>
      <c r="D23" s="160"/>
      <c r="E23" s="161"/>
      <c r="F23" s="159" t="s">
        <v>124</v>
      </c>
      <c r="G23" s="160"/>
      <c r="H23" s="161"/>
      <c r="I23" s="135"/>
      <c r="J23" s="135"/>
      <c r="M23" s="91"/>
      <c r="N23" s="91"/>
      <c r="O23" s="91"/>
      <c r="P23" s="91"/>
      <c r="Q23" s="91"/>
    </row>
    <row r="24" spans="1:17" ht="15" customHeight="1">
      <c r="A24" s="146"/>
      <c r="B24" s="147"/>
      <c r="C24" s="167">
        <f>E12-E22+1</f>
        <v>3907.2499999999982</v>
      </c>
      <c r="D24" s="168" t="s">
        <v>119</v>
      </c>
      <c r="E24" s="169">
        <f>E12</f>
        <v>12500</v>
      </c>
      <c r="F24" s="167">
        <f>H12-H22+1</f>
        <v>16407.25</v>
      </c>
      <c r="G24" s="168" t="s">
        <v>119</v>
      </c>
      <c r="H24" s="169">
        <f>H12</f>
        <v>25000</v>
      </c>
      <c r="I24" s="135"/>
      <c r="J24" s="135"/>
      <c r="M24" s="91"/>
      <c r="N24" s="91"/>
      <c r="O24" s="91"/>
      <c r="P24" s="91"/>
      <c r="Q24" s="91"/>
    </row>
    <row r="25" spans="1:17" ht="15" customHeight="1">
      <c r="A25" s="136" t="s">
        <v>113</v>
      </c>
      <c r="B25" s="137" t="str">
        <f>B23</f>
        <v>4 months after lapse of Cliff Period</v>
      </c>
      <c r="C25" s="156" t="s">
        <v>115</v>
      </c>
      <c r="D25" s="157"/>
      <c r="E25" s="158">
        <f>E22-($E$10/48)</f>
        <v>8333.3333333333358</v>
      </c>
      <c r="F25" s="156" t="s">
        <v>115</v>
      </c>
      <c r="G25" s="157"/>
      <c r="H25" s="158">
        <f>H22-($H$10/48)</f>
        <v>8333.3333333333358</v>
      </c>
      <c r="I25" s="135"/>
      <c r="J25" s="135"/>
      <c r="M25" s="91"/>
      <c r="N25" s="91"/>
      <c r="O25" s="91"/>
      <c r="P25" s="91"/>
      <c r="Q25" s="91"/>
    </row>
    <row r="26" spans="1:17" ht="15" customHeight="1">
      <c r="A26" s="141" t="s">
        <v>116</v>
      </c>
      <c r="B26" s="142" t="s">
        <v>126</v>
      </c>
      <c r="C26" s="159" t="s">
        <v>124</v>
      </c>
      <c r="D26" s="160"/>
      <c r="E26" s="161"/>
      <c r="F26" s="159" t="s">
        <v>124</v>
      </c>
      <c r="G26" s="160"/>
      <c r="H26" s="161"/>
      <c r="I26" s="135"/>
      <c r="J26" s="135"/>
      <c r="M26" s="91"/>
      <c r="N26" s="91"/>
      <c r="O26" s="91"/>
      <c r="P26" s="91"/>
      <c r="Q26" s="91"/>
    </row>
    <row r="27" spans="1:17" ht="15" customHeight="1">
      <c r="A27" s="146"/>
      <c r="B27" s="147"/>
      <c r="C27" s="167">
        <f>E12-E25+1</f>
        <v>4167.6666666666642</v>
      </c>
      <c r="D27" s="168" t="s">
        <v>119</v>
      </c>
      <c r="E27" s="169">
        <f>E12</f>
        <v>12500</v>
      </c>
      <c r="F27" s="167">
        <f>H12-H25+1</f>
        <v>16667.666666666664</v>
      </c>
      <c r="G27" s="168" t="s">
        <v>119</v>
      </c>
      <c r="H27" s="169">
        <f>H12</f>
        <v>25000</v>
      </c>
      <c r="I27" s="135"/>
      <c r="J27" s="135"/>
      <c r="M27" s="91"/>
      <c r="N27" s="91"/>
      <c r="O27" s="91"/>
      <c r="P27" s="91"/>
      <c r="Q27" s="91"/>
    </row>
    <row r="28" spans="1:17" ht="15" customHeight="1">
      <c r="A28" s="136" t="s">
        <v>113</v>
      </c>
      <c r="B28" s="137" t="str">
        <f>B26</f>
        <v>5 months after lapse of Cliff Period</v>
      </c>
      <c r="C28" s="170" t="s">
        <v>115</v>
      </c>
      <c r="D28" s="171"/>
      <c r="E28" s="158">
        <f>E25-($E$10/48)</f>
        <v>8072.9166666666688</v>
      </c>
      <c r="F28" s="170" t="s">
        <v>115</v>
      </c>
      <c r="G28" s="171"/>
      <c r="H28" s="158">
        <f>H25-($H$10/48)</f>
        <v>8072.9166666666688</v>
      </c>
      <c r="I28" s="135"/>
      <c r="J28" s="135"/>
      <c r="M28" s="91"/>
      <c r="N28" s="91"/>
      <c r="O28" s="91"/>
      <c r="P28" s="91"/>
      <c r="Q28" s="91"/>
    </row>
    <row r="29" spans="1:17" ht="15" customHeight="1">
      <c r="A29" s="172" t="s">
        <v>116</v>
      </c>
      <c r="B29" s="142" t="s">
        <v>127</v>
      </c>
      <c r="C29" s="173" t="s">
        <v>124</v>
      </c>
      <c r="D29" s="174"/>
      <c r="E29" s="175"/>
      <c r="F29" s="173" t="s">
        <v>124</v>
      </c>
      <c r="G29" s="174"/>
      <c r="H29" s="175"/>
      <c r="I29" s="135"/>
      <c r="J29" s="135"/>
      <c r="M29" s="91"/>
      <c r="N29" s="91"/>
      <c r="O29" s="91"/>
      <c r="P29" s="91"/>
      <c r="Q29" s="91"/>
    </row>
    <row r="30" spans="1:17" ht="15" customHeight="1">
      <c r="A30" s="146"/>
      <c r="B30" s="147"/>
      <c r="C30" s="167">
        <f>E12-E28+1</f>
        <v>4428.0833333333312</v>
      </c>
      <c r="D30" s="176" t="s">
        <v>119</v>
      </c>
      <c r="E30" s="169">
        <f>E12</f>
        <v>12500</v>
      </c>
      <c r="F30" s="167">
        <f>H12-H28+1</f>
        <v>16928.083333333332</v>
      </c>
      <c r="G30" s="176" t="s">
        <v>119</v>
      </c>
      <c r="H30" s="169">
        <f>H12</f>
        <v>25000</v>
      </c>
      <c r="I30" s="135"/>
      <c r="J30" s="135"/>
      <c r="M30" s="91"/>
      <c r="N30" s="91"/>
      <c r="O30" s="91"/>
      <c r="P30" s="91"/>
      <c r="Q30" s="91"/>
    </row>
    <row r="31" spans="1:17" ht="15" customHeight="1">
      <c r="A31" s="136" t="s">
        <v>113</v>
      </c>
      <c r="B31" s="137" t="str">
        <f>B29</f>
        <v>6 months after lapse of Cliff Period</v>
      </c>
      <c r="C31" s="170" t="s">
        <v>115</v>
      </c>
      <c r="D31" s="171"/>
      <c r="E31" s="158">
        <f>E28-($E$10/48)</f>
        <v>7812.5000000000018</v>
      </c>
      <c r="F31" s="170" t="s">
        <v>115</v>
      </c>
      <c r="G31" s="171"/>
      <c r="H31" s="158">
        <f>H28-($H$10/48)</f>
        <v>7812.5000000000018</v>
      </c>
      <c r="I31" s="135"/>
      <c r="J31" s="135"/>
      <c r="M31" s="91"/>
      <c r="N31" s="91"/>
      <c r="O31" s="91"/>
      <c r="P31" s="91"/>
      <c r="Q31" s="91"/>
    </row>
    <row r="32" spans="1:17" ht="15" customHeight="1">
      <c r="A32" s="141" t="s">
        <v>116</v>
      </c>
      <c r="B32" s="142" t="s">
        <v>128</v>
      </c>
      <c r="C32" s="173" t="s">
        <v>124</v>
      </c>
      <c r="D32" s="174"/>
      <c r="E32" s="175"/>
      <c r="F32" s="173" t="s">
        <v>124</v>
      </c>
      <c r="G32" s="174"/>
      <c r="H32" s="175"/>
      <c r="I32" s="135"/>
      <c r="J32" s="135"/>
      <c r="M32" s="91"/>
      <c r="N32" s="91"/>
      <c r="O32" s="91"/>
      <c r="P32" s="91"/>
      <c r="Q32" s="91"/>
    </row>
    <row r="33" spans="1:10" ht="15" customHeight="1">
      <c r="A33" s="146"/>
      <c r="B33" s="147"/>
      <c r="C33" s="167">
        <f>E12-E31+1</f>
        <v>4688.4999999999982</v>
      </c>
      <c r="D33" s="176" t="s">
        <v>119</v>
      </c>
      <c r="E33" s="169">
        <f>E12</f>
        <v>12500</v>
      </c>
      <c r="F33" s="167">
        <f>H12-H31+1</f>
        <v>17188.5</v>
      </c>
      <c r="G33" s="176" t="s">
        <v>119</v>
      </c>
      <c r="H33" s="169">
        <f>H12</f>
        <v>25000</v>
      </c>
      <c r="I33" s="135"/>
      <c r="J33" s="135"/>
    </row>
    <row r="34" spans="1:10" ht="15" customHeight="1">
      <c r="A34" s="136" t="s">
        <v>113</v>
      </c>
      <c r="B34" s="137" t="str">
        <f>B32</f>
        <v>7 months after lapse of Cliff Period</v>
      </c>
      <c r="C34" s="170" t="s">
        <v>115</v>
      </c>
      <c r="D34" s="171"/>
      <c r="E34" s="158">
        <f>E31-($E$10/48)</f>
        <v>7552.0833333333348</v>
      </c>
      <c r="F34" s="170" t="s">
        <v>115</v>
      </c>
      <c r="G34" s="171"/>
      <c r="H34" s="158">
        <f>H31-($H$10/48)</f>
        <v>7552.0833333333348</v>
      </c>
      <c r="I34" s="135"/>
      <c r="J34" s="135"/>
    </row>
    <row r="35" spans="1:10" ht="15" customHeight="1">
      <c r="A35" s="141" t="s">
        <v>116</v>
      </c>
      <c r="B35" s="142" t="s">
        <v>129</v>
      </c>
      <c r="C35" s="173" t="s">
        <v>124</v>
      </c>
      <c r="D35" s="174"/>
      <c r="E35" s="175"/>
      <c r="F35" s="173" t="s">
        <v>124</v>
      </c>
      <c r="G35" s="174"/>
      <c r="H35" s="175"/>
      <c r="I35" s="135"/>
      <c r="J35" s="135"/>
    </row>
    <row r="36" spans="1:10" ht="15" customHeight="1">
      <c r="A36" s="146"/>
      <c r="B36" s="147"/>
      <c r="C36" s="167">
        <f>E12-E34+1</f>
        <v>4948.9166666666652</v>
      </c>
      <c r="D36" s="176" t="s">
        <v>119</v>
      </c>
      <c r="E36" s="169">
        <f>E12</f>
        <v>12500</v>
      </c>
      <c r="F36" s="167">
        <f>H12-H34+1</f>
        <v>17448.916666666664</v>
      </c>
      <c r="G36" s="176" t="s">
        <v>119</v>
      </c>
      <c r="H36" s="169">
        <f>H12</f>
        <v>25000</v>
      </c>
      <c r="I36" s="135"/>
      <c r="J36" s="135"/>
    </row>
    <row r="37" spans="1:10" ht="15" customHeight="1">
      <c r="A37" s="136" t="s">
        <v>113</v>
      </c>
      <c r="B37" s="137" t="str">
        <f>B35</f>
        <v>8 months after lapse of Cliff Period</v>
      </c>
      <c r="C37" s="170" t="s">
        <v>115</v>
      </c>
      <c r="D37" s="171"/>
      <c r="E37" s="158">
        <f>E34-($E$10/48)</f>
        <v>7291.6666666666679</v>
      </c>
      <c r="F37" s="170" t="s">
        <v>115</v>
      </c>
      <c r="G37" s="171"/>
      <c r="H37" s="158">
        <f>H34-($H$10/48)</f>
        <v>7291.6666666666679</v>
      </c>
      <c r="I37" s="135"/>
      <c r="J37" s="135"/>
    </row>
    <row r="38" spans="1:10" ht="15" customHeight="1">
      <c r="A38" s="141" t="s">
        <v>116</v>
      </c>
      <c r="B38" s="142" t="s">
        <v>130</v>
      </c>
      <c r="C38" s="173" t="s">
        <v>124</v>
      </c>
      <c r="D38" s="174"/>
      <c r="E38" s="175"/>
      <c r="F38" s="173" t="s">
        <v>124</v>
      </c>
      <c r="G38" s="174"/>
      <c r="H38" s="175"/>
      <c r="I38" s="135"/>
      <c r="J38" s="135"/>
    </row>
    <row r="39" spans="1:10" ht="15" customHeight="1">
      <c r="A39" s="146"/>
      <c r="B39" s="147"/>
      <c r="C39" s="167">
        <f>E12-E37+1</f>
        <v>5209.3333333333321</v>
      </c>
      <c r="D39" s="176" t="s">
        <v>119</v>
      </c>
      <c r="E39" s="169">
        <f>E12</f>
        <v>12500</v>
      </c>
      <c r="F39" s="167">
        <f>H12-H37+1</f>
        <v>17709.333333333332</v>
      </c>
      <c r="G39" s="176" t="s">
        <v>119</v>
      </c>
      <c r="H39" s="169">
        <f>H12</f>
        <v>25000</v>
      </c>
      <c r="I39" s="135"/>
      <c r="J39" s="135"/>
    </row>
    <row r="40" spans="1:10" ht="15" customHeight="1">
      <c r="A40" s="136" t="s">
        <v>113</v>
      </c>
      <c r="B40" s="137" t="str">
        <f>B38</f>
        <v>9 months after lapse of Cliff Period</v>
      </c>
      <c r="C40" s="170" t="s">
        <v>115</v>
      </c>
      <c r="D40" s="171"/>
      <c r="E40" s="158">
        <f>E37-($E$10/48)</f>
        <v>7031.2500000000009</v>
      </c>
      <c r="F40" s="170" t="s">
        <v>115</v>
      </c>
      <c r="G40" s="171"/>
      <c r="H40" s="158">
        <f>H37-($H$10/48)</f>
        <v>7031.2500000000009</v>
      </c>
      <c r="I40" s="135"/>
      <c r="J40" s="135"/>
    </row>
    <row r="41" spans="1:10" ht="15" customHeight="1">
      <c r="A41" s="141" t="s">
        <v>116</v>
      </c>
      <c r="B41" s="142" t="s">
        <v>131</v>
      </c>
      <c r="C41" s="173" t="s">
        <v>124</v>
      </c>
      <c r="D41" s="174"/>
      <c r="E41" s="158"/>
      <c r="F41" s="173" t="s">
        <v>124</v>
      </c>
      <c r="G41" s="174"/>
      <c r="H41" s="175"/>
      <c r="I41" s="135"/>
      <c r="J41" s="135"/>
    </row>
    <row r="42" spans="1:10" ht="15" customHeight="1">
      <c r="A42" s="146"/>
      <c r="B42" s="147"/>
      <c r="C42" s="167">
        <f>E12-E40+1</f>
        <v>5469.7499999999991</v>
      </c>
      <c r="D42" s="176" t="s">
        <v>119</v>
      </c>
      <c r="E42" s="169">
        <f>E12</f>
        <v>12500</v>
      </c>
      <c r="F42" s="167">
        <f>H12-H40+1</f>
        <v>17969.75</v>
      </c>
      <c r="G42" s="176" t="s">
        <v>119</v>
      </c>
      <c r="H42" s="169">
        <f>H12</f>
        <v>25000</v>
      </c>
      <c r="I42" s="135"/>
      <c r="J42" s="135"/>
    </row>
    <row r="43" spans="1:10" ht="15" customHeight="1">
      <c r="A43" s="136" t="s">
        <v>113</v>
      </c>
      <c r="B43" s="137" t="str">
        <f>B41</f>
        <v>10 months after lapse of Cliff Period</v>
      </c>
      <c r="C43" s="170" t="s">
        <v>115</v>
      </c>
      <c r="D43" s="171"/>
      <c r="E43" s="158">
        <f>E40-($E$10/48)</f>
        <v>6770.8333333333339</v>
      </c>
      <c r="F43" s="170" t="s">
        <v>115</v>
      </c>
      <c r="G43" s="171"/>
      <c r="H43" s="158">
        <f>H40-($H$10/48)</f>
        <v>6770.8333333333339</v>
      </c>
      <c r="I43" s="135"/>
      <c r="J43" s="135"/>
    </row>
    <row r="44" spans="1:10" ht="15" customHeight="1">
      <c r="A44" s="141" t="s">
        <v>116</v>
      </c>
      <c r="B44" s="142" t="s">
        <v>132</v>
      </c>
      <c r="C44" s="173" t="s">
        <v>124</v>
      </c>
      <c r="D44" s="174"/>
      <c r="E44" s="175"/>
      <c r="F44" s="173" t="s">
        <v>124</v>
      </c>
      <c r="G44" s="174"/>
      <c r="H44" s="175"/>
      <c r="I44" s="135"/>
      <c r="J44" s="135"/>
    </row>
    <row r="45" spans="1:10" ht="15" customHeight="1">
      <c r="A45" s="146"/>
      <c r="B45" s="147"/>
      <c r="C45" s="167">
        <f>E12-E43+1</f>
        <v>5730.1666666666661</v>
      </c>
      <c r="D45" s="176" t="s">
        <v>119</v>
      </c>
      <c r="E45" s="169">
        <f>E12</f>
        <v>12500</v>
      </c>
      <c r="F45" s="167">
        <f>H12-H43+1</f>
        <v>18230.166666666664</v>
      </c>
      <c r="G45" s="176" t="s">
        <v>119</v>
      </c>
      <c r="H45" s="169">
        <f>H12</f>
        <v>25000</v>
      </c>
      <c r="I45" s="135"/>
      <c r="J45" s="135"/>
    </row>
    <row r="46" spans="1:10" ht="15" customHeight="1">
      <c r="A46" s="136" t="s">
        <v>113</v>
      </c>
      <c r="B46" s="137" t="str">
        <f>B44</f>
        <v>11 months after lapse of Cliff Period</v>
      </c>
      <c r="C46" s="170" t="s">
        <v>115</v>
      </c>
      <c r="D46" s="171"/>
      <c r="E46" s="158">
        <f>E43-($E$10/48)</f>
        <v>6510.416666666667</v>
      </c>
      <c r="F46" s="170" t="s">
        <v>115</v>
      </c>
      <c r="G46" s="171"/>
      <c r="H46" s="158">
        <f>H43-($H$10/48)</f>
        <v>6510.416666666667</v>
      </c>
      <c r="I46" s="135"/>
      <c r="J46" s="135"/>
    </row>
    <row r="47" spans="1:10" ht="15" customHeight="1">
      <c r="A47" s="141" t="s">
        <v>116</v>
      </c>
      <c r="B47" s="142" t="s">
        <v>133</v>
      </c>
      <c r="C47" s="173" t="s">
        <v>124</v>
      </c>
      <c r="D47" s="174"/>
      <c r="E47" s="175"/>
      <c r="F47" s="173" t="s">
        <v>124</v>
      </c>
      <c r="G47" s="174"/>
      <c r="H47" s="175"/>
      <c r="I47" s="135"/>
      <c r="J47" s="135"/>
    </row>
    <row r="48" spans="1:10" ht="15" customHeight="1">
      <c r="A48" s="146"/>
      <c r="B48" s="147"/>
      <c r="C48" s="167">
        <f>E12-E46+1</f>
        <v>5990.583333333333</v>
      </c>
      <c r="D48" s="176" t="s">
        <v>119</v>
      </c>
      <c r="E48" s="169">
        <f>E12</f>
        <v>12500</v>
      </c>
      <c r="F48" s="167">
        <f>H12-H46+1</f>
        <v>18490.583333333332</v>
      </c>
      <c r="G48" s="176" t="s">
        <v>119</v>
      </c>
      <c r="H48" s="169">
        <f>H12</f>
        <v>25000</v>
      </c>
      <c r="I48" s="135"/>
      <c r="J48" s="135"/>
    </row>
    <row r="49" spans="1:10" ht="15" customHeight="1">
      <c r="A49" s="136" t="s">
        <v>113</v>
      </c>
      <c r="B49" s="137" t="str">
        <f>B47</f>
        <v>12 months after lapse of Cliff Period</v>
      </c>
      <c r="C49" s="170" t="s">
        <v>115</v>
      </c>
      <c r="D49" s="171"/>
      <c r="E49" s="158">
        <f>E46-($E$10/48)</f>
        <v>6250</v>
      </c>
      <c r="F49" s="170" t="s">
        <v>115</v>
      </c>
      <c r="G49" s="171"/>
      <c r="H49" s="158">
        <f>H46-($H$10/48)</f>
        <v>6250</v>
      </c>
      <c r="I49" s="135"/>
      <c r="J49" s="135"/>
    </row>
    <row r="50" spans="1:10" ht="15" customHeight="1">
      <c r="A50" s="141" t="s">
        <v>116</v>
      </c>
      <c r="B50" s="142" t="s">
        <v>134</v>
      </c>
      <c r="C50" s="173" t="s">
        <v>124</v>
      </c>
      <c r="D50" s="174"/>
      <c r="E50" s="175"/>
      <c r="F50" s="173" t="s">
        <v>124</v>
      </c>
      <c r="G50" s="174"/>
      <c r="H50" s="175"/>
      <c r="I50" s="135"/>
      <c r="J50" s="135"/>
    </row>
    <row r="51" spans="1:10" ht="15" customHeight="1">
      <c r="A51" s="146"/>
      <c r="B51" s="147"/>
      <c r="C51" s="167">
        <f>E12-E49+1</f>
        <v>6251</v>
      </c>
      <c r="D51" s="176" t="s">
        <v>119</v>
      </c>
      <c r="E51" s="169">
        <f>E12</f>
        <v>12500</v>
      </c>
      <c r="F51" s="167">
        <f>H12-H49+1</f>
        <v>18751</v>
      </c>
      <c r="G51" s="176" t="s">
        <v>119</v>
      </c>
      <c r="H51" s="169">
        <f>H12</f>
        <v>25000</v>
      </c>
      <c r="I51" s="135"/>
      <c r="J51" s="135"/>
    </row>
    <row r="52" spans="1:10" ht="15" customHeight="1">
      <c r="A52" s="136" t="s">
        <v>113</v>
      </c>
      <c r="B52" s="137" t="str">
        <f>B50</f>
        <v>13 months after lapse of Cliff Period</v>
      </c>
      <c r="C52" s="170" t="s">
        <v>115</v>
      </c>
      <c r="D52" s="171"/>
      <c r="E52" s="158">
        <f>E49-($E$10/48)</f>
        <v>5989.583333333333</v>
      </c>
      <c r="F52" s="170" t="s">
        <v>115</v>
      </c>
      <c r="G52" s="171"/>
      <c r="H52" s="158">
        <f>H49-($H$10/48)</f>
        <v>5989.583333333333</v>
      </c>
      <c r="I52" s="135"/>
      <c r="J52" s="135"/>
    </row>
    <row r="53" spans="1:10" ht="15" customHeight="1">
      <c r="A53" s="141" t="s">
        <v>116</v>
      </c>
      <c r="B53" s="142" t="s">
        <v>135</v>
      </c>
      <c r="C53" s="173" t="s">
        <v>124</v>
      </c>
      <c r="D53" s="174"/>
      <c r="E53" s="175"/>
      <c r="F53" s="173" t="s">
        <v>124</v>
      </c>
      <c r="G53" s="174"/>
      <c r="H53" s="175"/>
      <c r="I53" s="135"/>
      <c r="J53" s="135"/>
    </row>
    <row r="54" spans="1:10" ht="15" customHeight="1">
      <c r="A54" s="146"/>
      <c r="B54" s="177"/>
      <c r="C54" s="167">
        <f>E12-E52+1</f>
        <v>6511.416666666667</v>
      </c>
      <c r="D54" s="176" t="s">
        <v>119</v>
      </c>
      <c r="E54" s="169">
        <f>E12</f>
        <v>12500</v>
      </c>
      <c r="F54" s="167">
        <f>H12-H52+1</f>
        <v>19011.416666666668</v>
      </c>
      <c r="G54" s="176" t="s">
        <v>119</v>
      </c>
      <c r="H54" s="169">
        <f>H12</f>
        <v>25000</v>
      </c>
      <c r="I54" s="135"/>
      <c r="J54" s="135"/>
    </row>
    <row r="55" spans="1:10" ht="15" customHeight="1">
      <c r="A55" s="136" t="s">
        <v>113</v>
      </c>
      <c r="B55" s="137" t="str">
        <f>B53</f>
        <v>14 months after lapse of Cliff Period</v>
      </c>
      <c r="C55" s="170" t="s">
        <v>115</v>
      </c>
      <c r="D55" s="171"/>
      <c r="E55" s="158">
        <f>E52-($E$10/48)</f>
        <v>5729.1666666666661</v>
      </c>
      <c r="F55" s="170" t="s">
        <v>115</v>
      </c>
      <c r="G55" s="171"/>
      <c r="H55" s="158">
        <f>H52-($H$10/48)</f>
        <v>5729.1666666666661</v>
      </c>
      <c r="I55" s="135"/>
      <c r="J55" s="135"/>
    </row>
    <row r="56" spans="1:10" ht="15" customHeight="1">
      <c r="A56" s="141" t="s">
        <v>116</v>
      </c>
      <c r="B56" s="142" t="s">
        <v>136</v>
      </c>
      <c r="C56" s="173" t="s">
        <v>124</v>
      </c>
      <c r="D56" s="174"/>
      <c r="E56" s="175"/>
      <c r="F56" s="173" t="s">
        <v>124</v>
      </c>
      <c r="G56" s="174"/>
      <c r="H56" s="175"/>
      <c r="I56" s="135"/>
      <c r="J56" s="135"/>
    </row>
    <row r="57" spans="1:10" ht="15" customHeight="1">
      <c r="A57" s="146"/>
      <c r="B57" s="177"/>
      <c r="C57" s="167">
        <f>E12-E55+1</f>
        <v>6771.8333333333339</v>
      </c>
      <c r="D57" s="176" t="s">
        <v>119</v>
      </c>
      <c r="E57" s="169">
        <f>E12</f>
        <v>12500</v>
      </c>
      <c r="F57" s="167">
        <f>H12-H55+1</f>
        <v>19271.833333333336</v>
      </c>
      <c r="G57" s="176" t="s">
        <v>119</v>
      </c>
      <c r="H57" s="169">
        <f>H12</f>
        <v>25000</v>
      </c>
      <c r="I57" s="135"/>
      <c r="J57" s="135"/>
    </row>
    <row r="58" spans="1:10" ht="15" customHeight="1">
      <c r="A58" s="136" t="s">
        <v>113</v>
      </c>
      <c r="B58" s="137" t="str">
        <f>B56</f>
        <v>15 months after lapse of Cliff Period</v>
      </c>
      <c r="C58" s="170" t="s">
        <v>115</v>
      </c>
      <c r="D58" s="171"/>
      <c r="E58" s="158">
        <f>E55-($E$10/48)</f>
        <v>5468.7499999999991</v>
      </c>
      <c r="F58" s="170" t="s">
        <v>115</v>
      </c>
      <c r="G58" s="171"/>
      <c r="H58" s="158">
        <f>H55-($H$10/48)</f>
        <v>5468.7499999999991</v>
      </c>
      <c r="I58" s="135"/>
      <c r="J58" s="135"/>
    </row>
    <row r="59" spans="1:10" ht="15" customHeight="1">
      <c r="A59" s="141" t="s">
        <v>116</v>
      </c>
      <c r="B59" s="142" t="s">
        <v>137</v>
      </c>
      <c r="C59" s="173" t="s">
        <v>124</v>
      </c>
      <c r="D59" s="174"/>
      <c r="E59" s="175"/>
      <c r="F59" s="173" t="s">
        <v>124</v>
      </c>
      <c r="G59" s="174"/>
      <c r="H59" s="175"/>
      <c r="I59" s="135"/>
      <c r="J59" s="135"/>
    </row>
    <row r="60" spans="1:10" ht="15" customHeight="1">
      <c r="A60" s="146"/>
      <c r="B60" s="177"/>
      <c r="C60" s="167">
        <f>E12-E58+1</f>
        <v>7032.2500000000009</v>
      </c>
      <c r="D60" s="176" t="s">
        <v>119</v>
      </c>
      <c r="E60" s="169">
        <f>E12</f>
        <v>12500</v>
      </c>
      <c r="F60" s="167">
        <f>H12-H58+1</f>
        <v>19532.25</v>
      </c>
      <c r="G60" s="176" t="s">
        <v>119</v>
      </c>
      <c r="H60" s="169">
        <f>H12</f>
        <v>25000</v>
      </c>
      <c r="I60" s="135"/>
      <c r="J60" s="135"/>
    </row>
    <row r="61" spans="1:10" ht="15" customHeight="1">
      <c r="A61" s="136" t="s">
        <v>113</v>
      </c>
      <c r="B61" s="137" t="str">
        <f>B59</f>
        <v>16 months after lapse of Cliff Period</v>
      </c>
      <c r="C61" s="170" t="s">
        <v>115</v>
      </c>
      <c r="D61" s="171"/>
      <c r="E61" s="158">
        <f>E58-($E$10/48)</f>
        <v>5208.3333333333321</v>
      </c>
      <c r="F61" s="170" t="s">
        <v>115</v>
      </c>
      <c r="G61" s="171"/>
      <c r="H61" s="158">
        <f>H58-($H$10/48)</f>
        <v>5208.3333333333321</v>
      </c>
      <c r="I61" s="135"/>
      <c r="J61" s="135"/>
    </row>
    <row r="62" spans="1:10" ht="15" customHeight="1">
      <c r="A62" s="141" t="s">
        <v>116</v>
      </c>
      <c r="B62" s="142" t="s">
        <v>138</v>
      </c>
      <c r="C62" s="173" t="s">
        <v>124</v>
      </c>
      <c r="D62" s="174"/>
      <c r="E62" s="175"/>
      <c r="F62" s="173" t="s">
        <v>124</v>
      </c>
      <c r="G62" s="174"/>
      <c r="H62" s="175"/>
      <c r="I62" s="135"/>
      <c r="J62" s="135"/>
    </row>
    <row r="63" spans="1:10" ht="15" customHeight="1">
      <c r="A63" s="146"/>
      <c r="B63" s="177"/>
      <c r="C63" s="167">
        <f>E12-E61+1</f>
        <v>7292.6666666666679</v>
      </c>
      <c r="D63" s="176" t="s">
        <v>119</v>
      </c>
      <c r="E63" s="169">
        <f>E12</f>
        <v>12500</v>
      </c>
      <c r="F63" s="167">
        <f>H12-H61+1</f>
        <v>19792.666666666668</v>
      </c>
      <c r="G63" s="176" t="s">
        <v>119</v>
      </c>
      <c r="H63" s="169">
        <f>H12</f>
        <v>25000</v>
      </c>
      <c r="I63" s="135"/>
      <c r="J63" s="135"/>
    </row>
    <row r="64" spans="1:10" ht="15" customHeight="1">
      <c r="A64" s="136" t="s">
        <v>113</v>
      </c>
      <c r="B64" s="137" t="str">
        <f>B62</f>
        <v>17 months after lapse of Cliff Period</v>
      </c>
      <c r="C64" s="170" t="s">
        <v>115</v>
      </c>
      <c r="D64" s="171"/>
      <c r="E64" s="158">
        <f>E61-($E$10/48)</f>
        <v>4947.9166666666652</v>
      </c>
      <c r="F64" s="170" t="s">
        <v>115</v>
      </c>
      <c r="G64" s="171"/>
      <c r="H64" s="158">
        <f>H61-($H$10/48)</f>
        <v>4947.9166666666652</v>
      </c>
      <c r="I64" s="135"/>
      <c r="J64" s="135"/>
    </row>
    <row r="65" spans="1:10" ht="15" customHeight="1">
      <c r="A65" s="141" t="s">
        <v>116</v>
      </c>
      <c r="B65" s="142" t="s">
        <v>139</v>
      </c>
      <c r="C65" s="173" t="s">
        <v>124</v>
      </c>
      <c r="D65" s="174"/>
      <c r="E65" s="175"/>
      <c r="F65" s="173" t="s">
        <v>124</v>
      </c>
      <c r="G65" s="174"/>
      <c r="H65" s="175"/>
      <c r="I65" s="135"/>
      <c r="J65" s="135"/>
    </row>
    <row r="66" spans="1:10" ht="15" customHeight="1">
      <c r="A66" s="146"/>
      <c r="B66" s="177"/>
      <c r="C66" s="167">
        <f>E12-E64+1</f>
        <v>7553.0833333333348</v>
      </c>
      <c r="D66" s="176" t="s">
        <v>119</v>
      </c>
      <c r="E66" s="169">
        <f>E12</f>
        <v>12500</v>
      </c>
      <c r="F66" s="167">
        <f>H12-H64+1</f>
        <v>20053.083333333336</v>
      </c>
      <c r="G66" s="176" t="s">
        <v>119</v>
      </c>
      <c r="H66" s="169">
        <f>H12</f>
        <v>25000</v>
      </c>
      <c r="I66" s="135"/>
      <c r="J66" s="135"/>
    </row>
    <row r="67" spans="1:10" ht="15" customHeight="1">
      <c r="A67" s="136" t="s">
        <v>113</v>
      </c>
      <c r="B67" s="137" t="str">
        <f>B65</f>
        <v>18 months after lapse of Cliff Period</v>
      </c>
      <c r="C67" s="170" t="s">
        <v>115</v>
      </c>
      <c r="D67" s="171"/>
      <c r="E67" s="158">
        <f>E64-($E$10/48)</f>
        <v>4687.4999999999982</v>
      </c>
      <c r="F67" s="170" t="s">
        <v>115</v>
      </c>
      <c r="G67" s="171"/>
      <c r="H67" s="158">
        <f>H64-($H$10/48)</f>
        <v>4687.4999999999982</v>
      </c>
      <c r="I67" s="135"/>
      <c r="J67" s="135"/>
    </row>
    <row r="68" spans="1:10" ht="15" customHeight="1">
      <c r="A68" s="141" t="s">
        <v>116</v>
      </c>
      <c r="B68" s="142" t="s">
        <v>140</v>
      </c>
      <c r="C68" s="173" t="s">
        <v>124</v>
      </c>
      <c r="D68" s="174"/>
      <c r="E68" s="175"/>
      <c r="F68" s="173" t="s">
        <v>124</v>
      </c>
      <c r="G68" s="174"/>
      <c r="H68" s="175"/>
      <c r="I68" s="135"/>
      <c r="J68" s="135"/>
    </row>
    <row r="69" spans="1:10" ht="15" customHeight="1">
      <c r="A69" s="146"/>
      <c r="B69" s="177"/>
      <c r="C69" s="167">
        <f>E12-E67+1</f>
        <v>7813.5000000000018</v>
      </c>
      <c r="D69" s="176" t="s">
        <v>119</v>
      </c>
      <c r="E69" s="169">
        <f>E12</f>
        <v>12500</v>
      </c>
      <c r="F69" s="167">
        <f>H12-H67+1</f>
        <v>20313.5</v>
      </c>
      <c r="G69" s="176" t="s">
        <v>119</v>
      </c>
      <c r="H69" s="169">
        <f>H12</f>
        <v>25000</v>
      </c>
      <c r="I69" s="135"/>
      <c r="J69" s="135"/>
    </row>
    <row r="70" spans="1:10" ht="15" customHeight="1">
      <c r="A70" s="136" t="s">
        <v>113</v>
      </c>
      <c r="B70" s="137" t="str">
        <f>B68</f>
        <v>19 months after lapse of Cliff Period</v>
      </c>
      <c r="C70" s="170" t="s">
        <v>115</v>
      </c>
      <c r="D70" s="171"/>
      <c r="E70" s="158">
        <f>E67-($E$10/48)</f>
        <v>4427.0833333333312</v>
      </c>
      <c r="F70" s="170" t="s">
        <v>115</v>
      </c>
      <c r="G70" s="171"/>
      <c r="H70" s="158">
        <f>H67-($H$10/48)</f>
        <v>4427.0833333333312</v>
      </c>
      <c r="I70" s="135"/>
      <c r="J70" s="135"/>
    </row>
    <row r="71" spans="1:10" ht="15" customHeight="1">
      <c r="A71" s="141" t="s">
        <v>116</v>
      </c>
      <c r="B71" s="142" t="s">
        <v>141</v>
      </c>
      <c r="C71" s="173" t="s">
        <v>124</v>
      </c>
      <c r="D71" s="174"/>
      <c r="E71" s="175"/>
      <c r="F71" s="173" t="s">
        <v>124</v>
      </c>
      <c r="G71" s="174"/>
      <c r="H71" s="175"/>
      <c r="I71" s="135"/>
      <c r="J71" s="135"/>
    </row>
    <row r="72" spans="1:10" ht="15" customHeight="1">
      <c r="A72" s="146"/>
      <c r="B72" s="177"/>
      <c r="C72" s="167">
        <f>E12-E70+1</f>
        <v>8073.9166666666688</v>
      </c>
      <c r="D72" s="176" t="s">
        <v>119</v>
      </c>
      <c r="E72" s="169">
        <f>E12</f>
        <v>12500</v>
      </c>
      <c r="F72" s="167">
        <f>H12-H70+1</f>
        <v>20573.916666666668</v>
      </c>
      <c r="G72" s="176" t="s">
        <v>119</v>
      </c>
      <c r="H72" s="169">
        <f>H12</f>
        <v>25000</v>
      </c>
      <c r="I72" s="135"/>
      <c r="J72" s="135"/>
    </row>
    <row r="73" spans="1:10" ht="15" customHeight="1">
      <c r="A73" s="136" t="s">
        <v>113</v>
      </c>
      <c r="B73" s="137" t="str">
        <f>B71</f>
        <v>20 months after lapse of Cliff Period</v>
      </c>
      <c r="C73" s="170" t="s">
        <v>115</v>
      </c>
      <c r="D73" s="171"/>
      <c r="E73" s="158">
        <f>E70-($E$10/48)</f>
        <v>4166.6666666666642</v>
      </c>
      <c r="F73" s="170" t="s">
        <v>115</v>
      </c>
      <c r="G73" s="171"/>
      <c r="H73" s="158">
        <f>H70-($H$10/48)</f>
        <v>4166.6666666666642</v>
      </c>
      <c r="I73" s="135"/>
      <c r="J73" s="135"/>
    </row>
    <row r="74" spans="1:10" ht="15" customHeight="1">
      <c r="A74" s="141" t="s">
        <v>116</v>
      </c>
      <c r="B74" s="142" t="s">
        <v>142</v>
      </c>
      <c r="C74" s="173" t="s">
        <v>124</v>
      </c>
      <c r="D74" s="174"/>
      <c r="E74" s="175"/>
      <c r="F74" s="173" t="s">
        <v>124</v>
      </c>
      <c r="G74" s="174"/>
      <c r="H74" s="175"/>
      <c r="I74" s="135"/>
      <c r="J74" s="135"/>
    </row>
    <row r="75" spans="1:10" ht="15" customHeight="1">
      <c r="A75" s="146"/>
      <c r="B75" s="177"/>
      <c r="C75" s="167">
        <f>E12-E73+1</f>
        <v>8334.3333333333358</v>
      </c>
      <c r="D75" s="176" t="s">
        <v>119</v>
      </c>
      <c r="E75" s="169">
        <f>E12</f>
        <v>12500</v>
      </c>
      <c r="F75" s="167">
        <f>H12-H73+1</f>
        <v>20834.333333333336</v>
      </c>
      <c r="G75" s="176" t="s">
        <v>119</v>
      </c>
      <c r="H75" s="169">
        <f>H12</f>
        <v>25000</v>
      </c>
      <c r="I75" s="135"/>
      <c r="J75" s="135"/>
    </row>
    <row r="76" spans="1:10" ht="15" customHeight="1">
      <c r="A76" s="136" t="s">
        <v>113</v>
      </c>
      <c r="B76" s="137" t="str">
        <f>B74</f>
        <v>21 months after lapse of Cliff Period</v>
      </c>
      <c r="C76" s="170" t="s">
        <v>115</v>
      </c>
      <c r="D76" s="171"/>
      <c r="E76" s="158">
        <f>E73-($E$10/48)</f>
        <v>3906.2499999999977</v>
      </c>
      <c r="F76" s="170" t="s">
        <v>115</v>
      </c>
      <c r="G76" s="171"/>
      <c r="H76" s="158">
        <f>H73-($H$10/48)</f>
        <v>3906.2499999999977</v>
      </c>
      <c r="I76" s="135"/>
      <c r="J76" s="135"/>
    </row>
    <row r="77" spans="1:10" ht="15" customHeight="1">
      <c r="A77" s="141" t="s">
        <v>116</v>
      </c>
      <c r="B77" s="142" t="s">
        <v>143</v>
      </c>
      <c r="C77" s="173" t="s">
        <v>124</v>
      </c>
      <c r="D77" s="174"/>
      <c r="E77" s="175"/>
      <c r="F77" s="173" t="s">
        <v>124</v>
      </c>
      <c r="G77" s="174"/>
      <c r="H77" s="175"/>
      <c r="I77" s="135"/>
      <c r="J77" s="135"/>
    </row>
    <row r="78" spans="1:10" ht="15" customHeight="1">
      <c r="A78" s="146"/>
      <c r="B78" s="177"/>
      <c r="C78" s="167">
        <f>E12-E76+1</f>
        <v>8594.7500000000018</v>
      </c>
      <c r="D78" s="176" t="s">
        <v>119</v>
      </c>
      <c r="E78" s="169">
        <f>E12</f>
        <v>12500</v>
      </c>
      <c r="F78" s="167">
        <f>H12-H76+1</f>
        <v>21094.750000000004</v>
      </c>
      <c r="G78" s="176" t="s">
        <v>119</v>
      </c>
      <c r="H78" s="169">
        <f>H12</f>
        <v>25000</v>
      </c>
      <c r="I78" s="135"/>
      <c r="J78" s="135"/>
    </row>
    <row r="79" spans="1:10" ht="15" customHeight="1">
      <c r="A79" s="136" t="s">
        <v>113</v>
      </c>
      <c r="B79" s="137" t="str">
        <f>B77</f>
        <v>22 months after lapse of Cliff Period</v>
      </c>
      <c r="C79" s="170" t="s">
        <v>115</v>
      </c>
      <c r="D79" s="171"/>
      <c r="E79" s="158">
        <f>E76-($E$10/48)</f>
        <v>3645.8333333333312</v>
      </c>
      <c r="F79" s="170" t="s">
        <v>115</v>
      </c>
      <c r="G79" s="171"/>
      <c r="H79" s="158">
        <f>H76-($H$10/48)</f>
        <v>3645.8333333333312</v>
      </c>
      <c r="I79" s="135"/>
      <c r="J79" s="135"/>
    </row>
    <row r="80" spans="1:10" ht="15" customHeight="1">
      <c r="A80" s="141" t="s">
        <v>116</v>
      </c>
      <c r="B80" s="142" t="s">
        <v>144</v>
      </c>
      <c r="C80" s="173" t="s">
        <v>124</v>
      </c>
      <c r="D80" s="174"/>
      <c r="E80" s="175"/>
      <c r="F80" s="173" t="s">
        <v>124</v>
      </c>
      <c r="G80" s="174"/>
      <c r="H80" s="175"/>
      <c r="I80" s="135"/>
      <c r="J80" s="135"/>
    </row>
    <row r="81" spans="1:10" ht="15" customHeight="1">
      <c r="A81" s="146"/>
      <c r="B81" s="177"/>
      <c r="C81" s="167">
        <f>E12-E79+1</f>
        <v>8855.1666666666679</v>
      </c>
      <c r="D81" s="176" t="s">
        <v>119</v>
      </c>
      <c r="E81" s="169">
        <f>E12</f>
        <v>12500</v>
      </c>
      <c r="F81" s="167">
        <f>H12-H79+1</f>
        <v>21355.166666666668</v>
      </c>
      <c r="G81" s="176" t="s">
        <v>119</v>
      </c>
      <c r="H81" s="169">
        <f>H12</f>
        <v>25000</v>
      </c>
      <c r="I81" s="135"/>
      <c r="J81" s="135"/>
    </row>
    <row r="82" spans="1:10" ht="15" customHeight="1">
      <c r="A82" s="136" t="s">
        <v>113</v>
      </c>
      <c r="B82" s="137" t="str">
        <f>B80</f>
        <v>23 months after lapse of Cliff Period</v>
      </c>
      <c r="C82" s="170" t="s">
        <v>115</v>
      </c>
      <c r="D82" s="171"/>
      <c r="E82" s="158">
        <f>E79-($E$10/48)</f>
        <v>3385.4166666666647</v>
      </c>
      <c r="F82" s="170" t="s">
        <v>115</v>
      </c>
      <c r="G82" s="171"/>
      <c r="H82" s="158">
        <f>H79-($H$10/48)</f>
        <v>3385.4166666666647</v>
      </c>
      <c r="I82" s="135"/>
      <c r="J82" s="135"/>
    </row>
    <row r="83" spans="1:10" ht="15" customHeight="1">
      <c r="A83" s="141" t="s">
        <v>116</v>
      </c>
      <c r="B83" s="142" t="s">
        <v>145</v>
      </c>
      <c r="C83" s="173" t="s">
        <v>124</v>
      </c>
      <c r="D83" s="174"/>
      <c r="E83" s="175"/>
      <c r="F83" s="173" t="s">
        <v>124</v>
      </c>
      <c r="G83" s="174"/>
      <c r="H83" s="175"/>
      <c r="I83" s="135"/>
      <c r="J83" s="135"/>
    </row>
    <row r="84" spans="1:10" ht="15" customHeight="1">
      <c r="A84" s="146"/>
      <c r="B84" s="177"/>
      <c r="C84" s="167">
        <f>E12-E82+1</f>
        <v>9115.5833333333358</v>
      </c>
      <c r="D84" s="176" t="s">
        <v>119</v>
      </c>
      <c r="E84" s="169">
        <f>E12</f>
        <v>12500</v>
      </c>
      <c r="F84" s="167">
        <f>H12-H82+1</f>
        <v>21615.583333333336</v>
      </c>
      <c r="G84" s="176" t="s">
        <v>119</v>
      </c>
      <c r="H84" s="169">
        <f>H12</f>
        <v>25000</v>
      </c>
      <c r="I84" s="135"/>
      <c r="J84" s="135"/>
    </row>
    <row r="85" spans="1:10" ht="15" customHeight="1">
      <c r="A85" s="136" t="s">
        <v>113</v>
      </c>
      <c r="B85" s="137" t="str">
        <f>B83</f>
        <v>24 months after lapse of Cliff Period</v>
      </c>
      <c r="C85" s="170" t="s">
        <v>115</v>
      </c>
      <c r="D85" s="171"/>
      <c r="E85" s="158">
        <f>E82-($E$10/48)</f>
        <v>3124.9999999999982</v>
      </c>
      <c r="F85" s="170" t="s">
        <v>115</v>
      </c>
      <c r="G85" s="171"/>
      <c r="H85" s="158">
        <f>H82-($H$10/48)</f>
        <v>3124.9999999999982</v>
      </c>
      <c r="I85" s="135"/>
      <c r="J85" s="135"/>
    </row>
    <row r="86" spans="1:10" ht="15" customHeight="1">
      <c r="A86" s="141" t="s">
        <v>116</v>
      </c>
      <c r="B86" s="142" t="s">
        <v>146</v>
      </c>
      <c r="C86" s="173" t="s">
        <v>124</v>
      </c>
      <c r="D86" s="174"/>
      <c r="E86" s="175"/>
      <c r="F86" s="173" t="s">
        <v>124</v>
      </c>
      <c r="G86" s="174"/>
      <c r="H86" s="175"/>
      <c r="I86" s="135"/>
      <c r="J86" s="135"/>
    </row>
    <row r="87" spans="1:10" ht="15" customHeight="1">
      <c r="A87" s="146"/>
      <c r="B87" s="177"/>
      <c r="C87" s="167">
        <f>E12-E85+1</f>
        <v>9376.0000000000018</v>
      </c>
      <c r="D87" s="176" t="s">
        <v>119</v>
      </c>
      <c r="E87" s="169">
        <f>E12</f>
        <v>12500</v>
      </c>
      <c r="F87" s="167">
        <f>H12-H85+1</f>
        <v>21876</v>
      </c>
      <c r="G87" s="176" t="s">
        <v>119</v>
      </c>
      <c r="H87" s="169">
        <f>H12</f>
        <v>25000</v>
      </c>
      <c r="I87" s="135"/>
      <c r="J87" s="135"/>
    </row>
    <row r="88" spans="1:10" ht="15" customHeight="1">
      <c r="A88" s="136" t="s">
        <v>113</v>
      </c>
      <c r="B88" s="137" t="str">
        <f>B86</f>
        <v>25 months after lapse of Cliff Period</v>
      </c>
      <c r="C88" s="170" t="s">
        <v>115</v>
      </c>
      <c r="D88" s="171"/>
      <c r="E88" s="158">
        <f>E85-($E$10/48)</f>
        <v>2864.5833333333317</v>
      </c>
      <c r="F88" s="170" t="s">
        <v>115</v>
      </c>
      <c r="G88" s="171"/>
      <c r="H88" s="158">
        <f>H85-($H$10/48)</f>
        <v>2864.5833333333317</v>
      </c>
      <c r="I88" s="135"/>
      <c r="J88" s="135"/>
    </row>
    <row r="89" spans="1:10" ht="15" customHeight="1">
      <c r="A89" s="141" t="s">
        <v>116</v>
      </c>
      <c r="B89" s="142" t="s">
        <v>147</v>
      </c>
      <c r="C89" s="173" t="s">
        <v>124</v>
      </c>
      <c r="D89" s="174"/>
      <c r="E89" s="175"/>
      <c r="F89" s="173" t="s">
        <v>124</v>
      </c>
      <c r="G89" s="174"/>
      <c r="H89" s="175"/>
      <c r="I89" s="135"/>
      <c r="J89" s="135"/>
    </row>
    <row r="90" spans="1:10" ht="15" customHeight="1">
      <c r="A90" s="146"/>
      <c r="B90" s="177"/>
      <c r="C90" s="167">
        <f>E12-E88+1</f>
        <v>9636.4166666666679</v>
      </c>
      <c r="D90" s="176" t="s">
        <v>119</v>
      </c>
      <c r="E90" s="169">
        <f>E12</f>
        <v>12500</v>
      </c>
      <c r="F90" s="167">
        <f>H12-H88+1</f>
        <v>22136.416666666668</v>
      </c>
      <c r="G90" s="176" t="s">
        <v>119</v>
      </c>
      <c r="H90" s="169">
        <f>H12</f>
        <v>25000</v>
      </c>
      <c r="I90" s="135"/>
      <c r="J90" s="135"/>
    </row>
    <row r="91" spans="1:10" ht="15" customHeight="1">
      <c r="A91" s="136" t="s">
        <v>113</v>
      </c>
      <c r="B91" s="137" t="str">
        <f>B89</f>
        <v>26 months after lapse of Cliff Period</v>
      </c>
      <c r="C91" s="170" t="s">
        <v>115</v>
      </c>
      <c r="D91" s="171"/>
      <c r="E91" s="158">
        <f>E88-($E$10/48)</f>
        <v>2604.1666666666652</v>
      </c>
      <c r="F91" s="170" t="s">
        <v>115</v>
      </c>
      <c r="G91" s="171"/>
      <c r="H91" s="158">
        <f>H88-($H$10/48)</f>
        <v>2604.1666666666652</v>
      </c>
      <c r="I91" s="135"/>
      <c r="J91" s="135"/>
    </row>
    <row r="92" spans="1:10" ht="15" customHeight="1">
      <c r="A92" s="141" t="s">
        <v>116</v>
      </c>
      <c r="B92" s="142" t="s">
        <v>148</v>
      </c>
      <c r="C92" s="173" t="s">
        <v>124</v>
      </c>
      <c r="D92" s="174"/>
      <c r="E92" s="175"/>
      <c r="F92" s="173" t="s">
        <v>124</v>
      </c>
      <c r="G92" s="174"/>
      <c r="H92" s="175"/>
      <c r="I92" s="135"/>
      <c r="J92" s="135"/>
    </row>
    <row r="93" spans="1:10" ht="15" customHeight="1">
      <c r="A93" s="146"/>
      <c r="B93" s="177"/>
      <c r="C93" s="167">
        <f>E12-E91+1</f>
        <v>9896.8333333333358</v>
      </c>
      <c r="D93" s="176" t="s">
        <v>119</v>
      </c>
      <c r="E93" s="169">
        <f>E12</f>
        <v>12500</v>
      </c>
      <c r="F93" s="167">
        <f>H12-H91+1</f>
        <v>22396.833333333336</v>
      </c>
      <c r="G93" s="176" t="s">
        <v>119</v>
      </c>
      <c r="H93" s="169">
        <f>H12</f>
        <v>25000</v>
      </c>
      <c r="I93" s="135"/>
      <c r="J93" s="135"/>
    </row>
    <row r="94" spans="1:10" ht="15" customHeight="1">
      <c r="A94" s="136" t="s">
        <v>113</v>
      </c>
      <c r="B94" s="137" t="str">
        <f>B92</f>
        <v>27 months after lapse of Cliff Period</v>
      </c>
      <c r="C94" s="170" t="s">
        <v>115</v>
      </c>
      <c r="D94" s="171"/>
      <c r="E94" s="158">
        <f>E91-($E$10/48)</f>
        <v>2343.7499999999986</v>
      </c>
      <c r="F94" s="170" t="s">
        <v>115</v>
      </c>
      <c r="G94" s="171"/>
      <c r="H94" s="158">
        <f>H91-($H$10/48)</f>
        <v>2343.7499999999986</v>
      </c>
      <c r="I94" s="135"/>
      <c r="J94" s="135"/>
    </row>
    <row r="95" spans="1:10" ht="15" customHeight="1">
      <c r="A95" s="141" t="s">
        <v>116</v>
      </c>
      <c r="B95" s="142" t="s">
        <v>149</v>
      </c>
      <c r="C95" s="173" t="s">
        <v>124</v>
      </c>
      <c r="D95" s="174"/>
      <c r="E95" s="175"/>
      <c r="F95" s="173" t="s">
        <v>124</v>
      </c>
      <c r="G95" s="174"/>
      <c r="H95" s="175"/>
      <c r="I95" s="135"/>
      <c r="J95" s="135"/>
    </row>
    <row r="96" spans="1:10" ht="15" customHeight="1">
      <c r="A96" s="146"/>
      <c r="B96" s="177"/>
      <c r="C96" s="167">
        <f>E12-E94+1</f>
        <v>10157.250000000002</v>
      </c>
      <c r="D96" s="176" t="s">
        <v>119</v>
      </c>
      <c r="E96" s="169">
        <f>E12</f>
        <v>12500</v>
      </c>
      <c r="F96" s="167">
        <f>H12-H94+1</f>
        <v>22657.25</v>
      </c>
      <c r="G96" s="176" t="s">
        <v>119</v>
      </c>
      <c r="H96" s="169">
        <f>H12</f>
        <v>25000</v>
      </c>
      <c r="I96" s="135"/>
      <c r="J96" s="135"/>
    </row>
    <row r="97" spans="1:10" ht="15" customHeight="1">
      <c r="A97" s="136" t="s">
        <v>113</v>
      </c>
      <c r="B97" s="137" t="str">
        <f>B95</f>
        <v>28 months after lapse of Cliff Period</v>
      </c>
      <c r="C97" s="170" t="s">
        <v>115</v>
      </c>
      <c r="D97" s="171"/>
      <c r="E97" s="158">
        <f>E94-($E$10/48)</f>
        <v>2083.3333333333321</v>
      </c>
      <c r="F97" s="170" t="s">
        <v>115</v>
      </c>
      <c r="G97" s="171"/>
      <c r="H97" s="158">
        <f>H94-($H$10/48)</f>
        <v>2083.3333333333321</v>
      </c>
      <c r="I97" s="135"/>
      <c r="J97" s="135"/>
    </row>
    <row r="98" spans="1:10" ht="15" customHeight="1">
      <c r="A98" s="141" t="s">
        <v>116</v>
      </c>
      <c r="B98" s="142" t="s">
        <v>150</v>
      </c>
      <c r="C98" s="173" t="s">
        <v>124</v>
      </c>
      <c r="D98" s="174"/>
      <c r="E98" s="175"/>
      <c r="F98" s="173" t="s">
        <v>124</v>
      </c>
      <c r="G98" s="174"/>
      <c r="H98" s="175"/>
      <c r="I98" s="135"/>
      <c r="J98" s="135"/>
    </row>
    <row r="99" spans="1:10" ht="15" customHeight="1">
      <c r="A99" s="146"/>
      <c r="B99" s="177"/>
      <c r="C99" s="167">
        <f>E12-E97+1</f>
        <v>10417.666666666668</v>
      </c>
      <c r="D99" s="176" t="s">
        <v>119</v>
      </c>
      <c r="E99" s="169">
        <f>E12</f>
        <v>12500</v>
      </c>
      <c r="F99" s="167">
        <f>H12-H97+1</f>
        <v>22917.666666666668</v>
      </c>
      <c r="G99" s="176" t="s">
        <v>119</v>
      </c>
      <c r="H99" s="169">
        <f>H12</f>
        <v>25000</v>
      </c>
      <c r="I99" s="135"/>
      <c r="J99" s="135"/>
    </row>
    <row r="100" spans="1:10" ht="15" customHeight="1">
      <c r="A100" s="136" t="s">
        <v>113</v>
      </c>
      <c r="B100" s="137" t="str">
        <f>B98</f>
        <v>29 months after lapse of Cliff Period</v>
      </c>
      <c r="C100" s="170" t="s">
        <v>115</v>
      </c>
      <c r="D100" s="171"/>
      <c r="E100" s="158">
        <f>E97-($E$10/48)</f>
        <v>1822.9166666666654</v>
      </c>
      <c r="F100" s="170" t="s">
        <v>115</v>
      </c>
      <c r="G100" s="171"/>
      <c r="H100" s="158">
        <f>H97-($H$10/48)</f>
        <v>1822.9166666666654</v>
      </c>
      <c r="I100" s="135"/>
      <c r="J100" s="135"/>
    </row>
    <row r="101" spans="1:10" ht="15" customHeight="1">
      <c r="A101" s="141" t="s">
        <v>116</v>
      </c>
      <c r="B101" s="142" t="s">
        <v>151</v>
      </c>
      <c r="C101" s="173" t="s">
        <v>124</v>
      </c>
      <c r="D101" s="174"/>
      <c r="E101" s="175"/>
      <c r="F101" s="173" t="s">
        <v>124</v>
      </c>
      <c r="G101" s="174"/>
      <c r="H101" s="175"/>
      <c r="I101" s="135"/>
      <c r="J101" s="135"/>
    </row>
    <row r="102" spans="1:10" ht="15" customHeight="1">
      <c r="A102" s="146"/>
      <c r="B102" s="177"/>
      <c r="C102" s="167">
        <f>E12-E100+1</f>
        <v>10678.083333333334</v>
      </c>
      <c r="D102" s="176" t="s">
        <v>119</v>
      </c>
      <c r="E102" s="169">
        <f>E12</f>
        <v>12500</v>
      </c>
      <c r="F102" s="167">
        <f>H12-H100+1</f>
        <v>23178.083333333336</v>
      </c>
      <c r="G102" s="176" t="s">
        <v>119</v>
      </c>
      <c r="H102" s="169">
        <f>H12</f>
        <v>25000</v>
      </c>
      <c r="I102" s="135"/>
      <c r="J102" s="135"/>
    </row>
    <row r="103" spans="1:10" ht="15" customHeight="1">
      <c r="A103" s="136" t="s">
        <v>113</v>
      </c>
      <c r="B103" s="137" t="str">
        <f>B101</f>
        <v>30 months after lapse of Cliff Period</v>
      </c>
      <c r="C103" s="170" t="s">
        <v>115</v>
      </c>
      <c r="D103" s="171"/>
      <c r="E103" s="158">
        <f>E100-($E$10/48)</f>
        <v>1562.4999999999986</v>
      </c>
      <c r="F103" s="170" t="s">
        <v>115</v>
      </c>
      <c r="G103" s="171"/>
      <c r="H103" s="158">
        <f>H100-($H$10/48)</f>
        <v>1562.4999999999986</v>
      </c>
      <c r="I103" s="135"/>
      <c r="J103" s="135"/>
    </row>
    <row r="104" spans="1:10" ht="15" customHeight="1">
      <c r="A104" s="141" t="s">
        <v>116</v>
      </c>
      <c r="B104" s="142" t="s">
        <v>152</v>
      </c>
      <c r="C104" s="173" t="s">
        <v>124</v>
      </c>
      <c r="D104" s="174"/>
      <c r="E104" s="175"/>
      <c r="F104" s="173" t="s">
        <v>124</v>
      </c>
      <c r="G104" s="174"/>
      <c r="H104" s="175"/>
      <c r="I104" s="135"/>
      <c r="J104" s="135"/>
    </row>
    <row r="105" spans="1:10" ht="15" customHeight="1">
      <c r="A105" s="146"/>
      <c r="B105" s="177"/>
      <c r="C105" s="167">
        <f>E12-E103+1</f>
        <v>10938.500000000002</v>
      </c>
      <c r="D105" s="176" t="s">
        <v>119</v>
      </c>
      <c r="E105" s="169">
        <f>E12</f>
        <v>12500</v>
      </c>
      <c r="F105" s="167">
        <f>H12-H103+1</f>
        <v>23438.5</v>
      </c>
      <c r="G105" s="176" t="s">
        <v>119</v>
      </c>
      <c r="H105" s="169">
        <f>H12</f>
        <v>25000</v>
      </c>
      <c r="I105" s="135"/>
      <c r="J105" s="135"/>
    </row>
    <row r="106" spans="1:10" ht="15" customHeight="1">
      <c r="A106" s="136" t="s">
        <v>113</v>
      </c>
      <c r="B106" s="137" t="str">
        <f>B104</f>
        <v>31 months after lapse of Cliff Period</v>
      </c>
      <c r="C106" s="170" t="s">
        <v>115</v>
      </c>
      <c r="D106" s="171"/>
      <c r="E106" s="158">
        <f>E103-($E$10/48)</f>
        <v>1302.0833333333319</v>
      </c>
      <c r="F106" s="170" t="s">
        <v>115</v>
      </c>
      <c r="G106" s="171"/>
      <c r="H106" s="158">
        <f>H103-($H$10/48)</f>
        <v>1302.0833333333319</v>
      </c>
      <c r="I106" s="135"/>
      <c r="J106" s="135"/>
    </row>
    <row r="107" spans="1:10" ht="15" customHeight="1">
      <c r="A107" s="141" t="s">
        <v>116</v>
      </c>
      <c r="B107" s="142" t="s">
        <v>153</v>
      </c>
      <c r="C107" s="173" t="s">
        <v>124</v>
      </c>
      <c r="D107" s="174"/>
      <c r="E107" s="175"/>
      <c r="F107" s="173" t="s">
        <v>124</v>
      </c>
      <c r="G107" s="174"/>
      <c r="H107" s="175"/>
      <c r="I107" s="135"/>
      <c r="J107" s="135"/>
    </row>
    <row r="108" spans="1:10" ht="15" customHeight="1">
      <c r="A108" s="146"/>
      <c r="B108" s="177"/>
      <c r="C108" s="167">
        <f>E12-E106+1</f>
        <v>11198.916666666668</v>
      </c>
      <c r="D108" s="176" t="s">
        <v>119</v>
      </c>
      <c r="E108" s="169">
        <f>E12</f>
        <v>12500</v>
      </c>
      <c r="F108" s="167">
        <f>H12-H106+1</f>
        <v>23698.916666666668</v>
      </c>
      <c r="G108" s="176" t="s">
        <v>119</v>
      </c>
      <c r="H108" s="169">
        <f>H12</f>
        <v>25000</v>
      </c>
      <c r="I108" s="135"/>
      <c r="J108" s="135"/>
    </row>
    <row r="109" spans="1:10" ht="15" customHeight="1">
      <c r="A109" s="136" t="s">
        <v>113</v>
      </c>
      <c r="B109" s="137" t="str">
        <f>B107</f>
        <v>32 months after lapse of Cliff Period</v>
      </c>
      <c r="C109" s="170" t="s">
        <v>115</v>
      </c>
      <c r="D109" s="171"/>
      <c r="E109" s="158">
        <f>E106-($E$10/48)</f>
        <v>1041.6666666666652</v>
      </c>
      <c r="F109" s="170" t="s">
        <v>115</v>
      </c>
      <c r="G109" s="171"/>
      <c r="H109" s="158">
        <f>H106-($H$10/48)</f>
        <v>1041.6666666666652</v>
      </c>
      <c r="I109" s="135"/>
      <c r="J109" s="135"/>
    </row>
    <row r="110" spans="1:10" ht="15" customHeight="1">
      <c r="A110" s="141" t="s">
        <v>116</v>
      </c>
      <c r="B110" s="142" t="s">
        <v>154</v>
      </c>
      <c r="C110" s="173" t="s">
        <v>124</v>
      </c>
      <c r="D110" s="174"/>
      <c r="E110" s="175"/>
      <c r="F110" s="173" t="s">
        <v>124</v>
      </c>
      <c r="G110" s="174"/>
      <c r="H110" s="175"/>
      <c r="I110" s="135"/>
      <c r="J110" s="135"/>
    </row>
    <row r="111" spans="1:10" ht="15" customHeight="1">
      <c r="A111" s="146"/>
      <c r="B111" s="177"/>
      <c r="C111" s="167">
        <f>E12-E109+1</f>
        <v>11459.333333333336</v>
      </c>
      <c r="D111" s="176" t="s">
        <v>119</v>
      </c>
      <c r="E111" s="169">
        <f>E12</f>
        <v>12500</v>
      </c>
      <c r="F111" s="167">
        <f>H12-H109+1</f>
        <v>23959.333333333336</v>
      </c>
      <c r="G111" s="176" t="s">
        <v>119</v>
      </c>
      <c r="H111" s="169">
        <f>H12</f>
        <v>25000</v>
      </c>
      <c r="I111" s="135"/>
      <c r="J111" s="135"/>
    </row>
    <row r="112" spans="1:10" ht="15" customHeight="1">
      <c r="A112" s="136" t="s">
        <v>113</v>
      </c>
      <c r="B112" s="137" t="str">
        <f>B110</f>
        <v>33 months after lapse of Cliff Period</v>
      </c>
      <c r="C112" s="170" t="s">
        <v>115</v>
      </c>
      <c r="D112" s="171"/>
      <c r="E112" s="158">
        <f>E109-($E$10/48)</f>
        <v>781.24999999999841</v>
      </c>
      <c r="F112" s="170" t="s">
        <v>115</v>
      </c>
      <c r="G112" s="171"/>
      <c r="H112" s="158">
        <f>H109-($H$10/48)</f>
        <v>781.24999999999841</v>
      </c>
      <c r="I112" s="135"/>
      <c r="J112" s="135"/>
    </row>
    <row r="113" spans="1:10" ht="15" customHeight="1">
      <c r="A113" s="141" t="s">
        <v>116</v>
      </c>
      <c r="B113" s="142" t="s">
        <v>155</v>
      </c>
      <c r="C113" s="173" t="s">
        <v>124</v>
      </c>
      <c r="D113" s="174"/>
      <c r="E113" s="175"/>
      <c r="F113" s="173" t="s">
        <v>124</v>
      </c>
      <c r="G113" s="174"/>
      <c r="H113" s="175"/>
      <c r="I113" s="135"/>
      <c r="J113" s="135"/>
    </row>
    <row r="114" spans="1:10" ht="15" customHeight="1">
      <c r="A114" s="146"/>
      <c r="B114" s="177"/>
      <c r="C114" s="167">
        <f>E12-E112+1</f>
        <v>11719.750000000002</v>
      </c>
      <c r="D114" s="176" t="s">
        <v>119</v>
      </c>
      <c r="E114" s="169">
        <f>E12</f>
        <v>12500</v>
      </c>
      <c r="F114" s="167">
        <f>H12-H112+1</f>
        <v>24219.75</v>
      </c>
      <c r="G114" s="176" t="s">
        <v>119</v>
      </c>
      <c r="H114" s="169">
        <f>H12</f>
        <v>25000</v>
      </c>
      <c r="I114" s="135"/>
      <c r="J114" s="135"/>
    </row>
    <row r="115" spans="1:10" ht="15" customHeight="1">
      <c r="A115" s="136" t="s">
        <v>113</v>
      </c>
      <c r="B115" s="137" t="str">
        <f>B113</f>
        <v>34 months after lapse of Cliff Period</v>
      </c>
      <c r="C115" s="170" t="s">
        <v>115</v>
      </c>
      <c r="D115" s="171"/>
      <c r="E115" s="158">
        <f>E112-($E$10/48)</f>
        <v>520.83333333333167</v>
      </c>
      <c r="F115" s="170" t="s">
        <v>115</v>
      </c>
      <c r="G115" s="171"/>
      <c r="H115" s="158">
        <f>H112-($H$10/48)</f>
        <v>520.83333333333167</v>
      </c>
      <c r="I115" s="135"/>
      <c r="J115" s="135"/>
    </row>
    <row r="116" spans="1:10" ht="15" customHeight="1">
      <c r="A116" s="141" t="s">
        <v>116</v>
      </c>
      <c r="B116" s="142" t="s">
        <v>156</v>
      </c>
      <c r="C116" s="173" t="s">
        <v>124</v>
      </c>
      <c r="D116" s="174"/>
      <c r="E116" s="175"/>
      <c r="F116" s="173" t="s">
        <v>124</v>
      </c>
      <c r="G116" s="174"/>
      <c r="H116" s="175"/>
      <c r="I116" s="135"/>
      <c r="J116" s="135"/>
    </row>
    <row r="117" spans="1:10" ht="15" customHeight="1">
      <c r="A117" s="146"/>
      <c r="B117" s="177"/>
      <c r="C117" s="167">
        <f>E12-E115+1</f>
        <v>11980.166666666668</v>
      </c>
      <c r="D117" s="176" t="s">
        <v>119</v>
      </c>
      <c r="E117" s="169">
        <f>E12</f>
        <v>12500</v>
      </c>
      <c r="F117" s="167">
        <f>H12-H115+1</f>
        <v>24480.166666666668</v>
      </c>
      <c r="G117" s="176" t="s">
        <v>119</v>
      </c>
      <c r="H117" s="169">
        <f>H12</f>
        <v>25000</v>
      </c>
      <c r="I117" s="135"/>
      <c r="J117" s="135"/>
    </row>
    <row r="118" spans="1:10" ht="15" customHeight="1">
      <c r="A118" s="136" t="s">
        <v>113</v>
      </c>
      <c r="B118" s="137" t="str">
        <f>B116</f>
        <v>35 months after lapse of Cliff Period</v>
      </c>
      <c r="C118" s="170" t="s">
        <v>115</v>
      </c>
      <c r="D118" s="171"/>
      <c r="E118" s="158">
        <f>E115-($E$10/48)</f>
        <v>260.41666666666498</v>
      </c>
      <c r="F118" s="170" t="s">
        <v>115</v>
      </c>
      <c r="G118" s="171"/>
      <c r="H118" s="158">
        <f>H115-($H$10/48)</f>
        <v>260.41666666666498</v>
      </c>
      <c r="I118" s="135"/>
      <c r="J118" s="135"/>
    </row>
    <row r="119" spans="1:10" ht="15" customHeight="1">
      <c r="A119" s="141" t="s">
        <v>116</v>
      </c>
      <c r="B119" s="142" t="s">
        <v>157</v>
      </c>
      <c r="C119" s="173" t="s">
        <v>124</v>
      </c>
      <c r="D119" s="174"/>
      <c r="E119" s="175"/>
      <c r="F119" s="173" t="s">
        <v>124</v>
      </c>
      <c r="G119" s="174"/>
      <c r="H119" s="175"/>
      <c r="I119" s="135"/>
      <c r="J119" s="135"/>
    </row>
    <row r="120" spans="1:10" ht="15" customHeight="1">
      <c r="A120" s="146"/>
      <c r="B120" s="177"/>
      <c r="C120" s="167">
        <f>E12-E118+1</f>
        <v>12240.583333333336</v>
      </c>
      <c r="D120" s="176" t="s">
        <v>119</v>
      </c>
      <c r="E120" s="169">
        <f>E12</f>
        <v>12500</v>
      </c>
      <c r="F120" s="167">
        <f>H12-H118+1</f>
        <v>24740.583333333336</v>
      </c>
      <c r="G120" s="176" t="s">
        <v>119</v>
      </c>
      <c r="H120" s="169">
        <f>H12</f>
        <v>25000</v>
      </c>
      <c r="I120" s="135"/>
      <c r="J120" s="135"/>
    </row>
    <row r="121" spans="1:10" ht="15" customHeight="1">
      <c r="A121" s="136" t="s">
        <v>113</v>
      </c>
      <c r="B121" s="137" t="str">
        <f>B119</f>
        <v>36 months after lapse of Cliff Period</v>
      </c>
      <c r="C121" s="170" t="s">
        <v>115</v>
      </c>
      <c r="D121" s="171"/>
      <c r="E121" s="158">
        <f>E118-($E$10/48)</f>
        <v>-1.7053025658242404E-12</v>
      </c>
      <c r="F121" s="170" t="s">
        <v>115</v>
      </c>
      <c r="G121" s="171"/>
      <c r="H121" s="158">
        <f>H118-($H$10/48)</f>
        <v>-1.7053025658242404E-12</v>
      </c>
      <c r="I121" s="135"/>
      <c r="J121" s="135"/>
    </row>
    <row r="122" spans="1:10" ht="15" customHeight="1">
      <c r="A122" s="126"/>
      <c r="B122" s="130"/>
      <c r="C122" s="127"/>
      <c r="D122" s="129"/>
      <c r="E122" s="128"/>
      <c r="F122" s="127"/>
      <c r="G122" s="129"/>
      <c r="H122" s="128"/>
    </row>
    <row r="123" spans="1:10" ht="15" customHeight="1">
      <c r="A123" s="122"/>
      <c r="B123" s="123"/>
      <c r="C123" s="124"/>
      <c r="D123" s="125"/>
      <c r="E123" s="123"/>
      <c r="F123" s="124"/>
      <c r="G123" s="125"/>
      <c r="H123" s="123"/>
    </row>
  </sheetData>
  <mergeCells count="10">
    <mergeCell ref="I7:J7"/>
    <mergeCell ref="I1:K5"/>
    <mergeCell ref="A9:B9"/>
    <mergeCell ref="A7:B7"/>
    <mergeCell ref="C7:E7"/>
    <mergeCell ref="C8:E8"/>
    <mergeCell ref="F7:H7"/>
    <mergeCell ref="F8:H8"/>
    <mergeCell ref="C6:E6"/>
    <mergeCell ref="F6:H6"/>
  </mergeCells>
  <pageMargins left="0.7" right="0.7" top="0.78740157499999996" bottom="0.78740157499999996" header="0.3" footer="0.3"/>
  <pageSetup paperSize="8" scale="3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7B9E3-7AA7-4994-B3C8-F21D3F2003BA}">
  <sheetPr codeName="Sheet3">
    <tabColor rgb="FF003145"/>
    <pageSetUpPr fitToPage="1"/>
  </sheetPr>
  <dimension ref="A1:L48"/>
  <sheetViews>
    <sheetView zoomScale="80" zoomScaleNormal="80" workbookViewId="0">
      <pane ySplit="5" topLeftCell="A15" activePane="bottomLeft" state="frozen"/>
      <selection pane="bottomLeft" activeCell="K31" sqref="K31"/>
    </sheetView>
  </sheetViews>
  <sheetFormatPr defaultColWidth="11.42578125" defaultRowHeight="15" customHeight="1"/>
  <cols>
    <col min="1" max="1" width="50" style="3" customWidth="1"/>
    <col min="2" max="2" width="2.42578125" style="3" customWidth="1"/>
    <col min="3" max="3" width="25.7109375" style="3" customWidth="1"/>
    <col min="4" max="4" width="1.7109375" style="3" customWidth="1"/>
    <col min="5" max="5" width="25.7109375" style="3" customWidth="1"/>
    <col min="6" max="6" width="1.7109375" style="3" customWidth="1"/>
    <col min="7" max="7" width="25.7109375" style="3" customWidth="1"/>
    <col min="8" max="8" width="1.7109375" style="3" customWidth="1"/>
    <col min="9" max="9" width="25.7109375" style="3" customWidth="1"/>
    <col min="10" max="10" width="1.7109375" style="3" customWidth="1"/>
    <col min="11" max="11" width="26.28515625" style="3" customWidth="1"/>
    <col min="12" max="12" width="15.7109375" style="3" customWidth="1"/>
    <col min="13" max="16384" width="11.42578125" style="3"/>
  </cols>
  <sheetData>
    <row r="1" spans="1:11" ht="18" customHeight="1">
      <c r="A1" s="16"/>
      <c r="B1" s="16"/>
      <c r="C1" s="18"/>
      <c r="D1" s="18"/>
      <c r="E1" s="16"/>
      <c r="F1" s="264"/>
      <c r="G1" s="264"/>
      <c r="H1" s="264"/>
      <c r="I1" s="264"/>
      <c r="J1" s="18"/>
      <c r="K1" s="18"/>
    </row>
    <row r="2" spans="1:11" ht="15" customHeight="1">
      <c r="A2" s="16"/>
      <c r="B2" s="18"/>
      <c r="C2" s="18"/>
      <c r="D2" s="18"/>
      <c r="E2" s="16"/>
      <c r="F2" s="264"/>
      <c r="G2" s="264"/>
      <c r="H2" s="264"/>
      <c r="I2" s="264"/>
      <c r="J2" s="18"/>
      <c r="K2" s="18"/>
    </row>
    <row r="3" spans="1:11" ht="15" customHeight="1">
      <c r="A3" s="16"/>
      <c r="B3" s="18"/>
      <c r="C3" s="18"/>
      <c r="D3" s="18"/>
      <c r="E3" s="17" t="s">
        <v>4</v>
      </c>
      <c r="F3" s="264"/>
      <c r="G3" s="264"/>
      <c r="H3" s="264"/>
      <c r="I3" s="264"/>
      <c r="J3" s="18"/>
      <c r="K3" s="18"/>
    </row>
    <row r="4" spans="1:11" ht="15" customHeight="1">
      <c r="A4" s="16"/>
      <c r="B4" s="18"/>
      <c r="C4" s="18"/>
      <c r="D4" s="18"/>
      <c r="E4" s="16"/>
      <c r="F4" s="264"/>
      <c r="G4" s="264"/>
      <c r="H4" s="264"/>
      <c r="I4" s="264"/>
      <c r="J4" s="18"/>
      <c r="K4" s="18"/>
    </row>
    <row r="5" spans="1:11" ht="15" customHeight="1">
      <c r="A5" s="16"/>
      <c r="B5" s="16"/>
      <c r="C5" s="18"/>
      <c r="D5" s="18"/>
      <c r="E5" s="16"/>
      <c r="F5" s="264"/>
      <c r="G5" s="264"/>
      <c r="H5" s="264"/>
      <c r="I5" s="264"/>
      <c r="J5" s="18"/>
      <c r="K5" s="18"/>
    </row>
    <row r="6" spans="1:11" ht="15" customHeight="1">
      <c r="G6" s="15"/>
      <c r="H6" s="15"/>
      <c r="I6" s="15"/>
    </row>
    <row r="7" spans="1:11" ht="15" customHeight="1">
      <c r="A7" s="91" t="s">
        <v>82</v>
      </c>
      <c r="C7" s="67">
        <v>40000000</v>
      </c>
      <c r="G7" s="15"/>
      <c r="H7" s="15"/>
      <c r="I7" s="15"/>
    </row>
    <row r="8" spans="1:11" ht="15" customHeight="1">
      <c r="A8" s="77" t="s">
        <v>61</v>
      </c>
      <c r="C8" s="67">
        <f>C31</f>
        <v>7500000</v>
      </c>
      <c r="G8" s="15"/>
      <c r="H8" s="15"/>
      <c r="I8" s="15"/>
    </row>
    <row r="9" spans="1:11" ht="15" customHeight="1">
      <c r="A9" s="91" t="s">
        <v>83</v>
      </c>
      <c r="C9" s="67">
        <f ca="1">E31</f>
        <v>7498677.040000001</v>
      </c>
      <c r="G9" s="15"/>
      <c r="H9" s="15"/>
      <c r="I9" s="15"/>
    </row>
    <row r="10" spans="1:11" ht="15" customHeight="1">
      <c r="A10" s="91" t="s">
        <v>81</v>
      </c>
      <c r="C10" s="67">
        <f ca="1">C7+E31</f>
        <v>47498677.039999999</v>
      </c>
      <c r="G10" s="15"/>
      <c r="H10" s="15"/>
      <c r="I10" s="15"/>
    </row>
    <row r="11" spans="1:11" ht="15" customHeight="1">
      <c r="A11" s="3" t="s">
        <v>14</v>
      </c>
      <c r="C11" s="20">
        <f ca="1">'Current Capitalisation -XX.2024'!M28+'CLA Conversion'!M28</f>
        <v>131876</v>
      </c>
      <c r="E11" s="98" t="s">
        <v>172</v>
      </c>
      <c r="G11" s="15"/>
      <c r="H11" s="15"/>
      <c r="I11" s="15"/>
    </row>
    <row r="12" spans="1:11" ht="15" customHeight="1">
      <c r="A12" s="77" t="s">
        <v>62</v>
      </c>
      <c r="C12" s="67">
        <f ca="1">ROUND(C7/C11,2)</f>
        <v>303.32</v>
      </c>
      <c r="G12" s="15"/>
      <c r="H12" s="15"/>
      <c r="I12" s="15"/>
    </row>
    <row r="13" spans="1:11" ht="15" customHeight="1">
      <c r="A13" s="77" t="s">
        <v>63</v>
      </c>
      <c r="C13" s="67">
        <v>1</v>
      </c>
      <c r="G13" s="15"/>
      <c r="H13" s="15"/>
      <c r="I13" s="15"/>
    </row>
    <row r="14" spans="1:11" ht="15" customHeight="1">
      <c r="G14" s="15"/>
      <c r="H14" s="15"/>
      <c r="I14" s="15"/>
    </row>
    <row r="15" spans="1:11" ht="15" customHeight="1">
      <c r="A15" s="268" t="s">
        <v>0</v>
      </c>
      <c r="C15" s="36" t="s">
        <v>21</v>
      </c>
      <c r="D15" s="35"/>
      <c r="E15" s="36" t="s">
        <v>22</v>
      </c>
      <c r="F15" s="35"/>
      <c r="G15" s="36" t="s">
        <v>53</v>
      </c>
      <c r="H15" s="15"/>
      <c r="I15" s="36" t="s">
        <v>23</v>
      </c>
      <c r="K15" s="36" t="s">
        <v>27</v>
      </c>
    </row>
    <row r="16" spans="1:11" ht="15" customHeight="1">
      <c r="A16" s="268"/>
      <c r="C16" s="36"/>
      <c r="D16" s="19"/>
      <c r="E16" s="36"/>
      <c r="F16" s="19"/>
      <c r="G16" s="36" t="s">
        <v>8</v>
      </c>
      <c r="H16" s="15"/>
      <c r="I16" s="36" t="s">
        <v>54</v>
      </c>
      <c r="K16" s="36" t="s">
        <v>54</v>
      </c>
    </row>
    <row r="17" spans="1:12" ht="15" customHeight="1">
      <c r="G17" s="15"/>
      <c r="H17" s="15"/>
      <c r="I17" s="38"/>
    </row>
    <row r="18" spans="1:12" ht="15" customHeight="1">
      <c r="A18" s="22" t="s">
        <v>15</v>
      </c>
      <c r="G18" s="15"/>
      <c r="H18" s="15"/>
      <c r="I18" s="38"/>
    </row>
    <row r="19" spans="1:12" ht="15" customHeight="1">
      <c r="A19" s="1" t="s">
        <v>47</v>
      </c>
      <c r="C19" s="67">
        <v>2000000</v>
      </c>
      <c r="E19" s="67">
        <f ca="1">(G19*$C$12)</f>
        <v>1999788.76</v>
      </c>
      <c r="G19" s="20">
        <f ca="1">ROUNDDOWN(C19/$C$12,0)</f>
        <v>6593</v>
      </c>
      <c r="I19" s="67">
        <f ca="1">ROUND(E19-G19,2)</f>
        <v>1993195.76</v>
      </c>
      <c r="K19" s="67">
        <f ca="1">G19</f>
        <v>6593</v>
      </c>
      <c r="L19" s="30"/>
    </row>
    <row r="20" spans="1:12" ht="15" customHeight="1">
      <c r="A20" s="1" t="s">
        <v>48</v>
      </c>
      <c r="C20" s="67">
        <v>2000000</v>
      </c>
      <c r="E20" s="67">
        <f t="shared" ref="E20:E22" ca="1" si="0">(G20*$C$12)</f>
        <v>1999788.76</v>
      </c>
      <c r="G20" s="94">
        <f t="shared" ref="G20:G22" ca="1" si="1">ROUNDDOWN(C20/$C$12,0)</f>
        <v>6593</v>
      </c>
      <c r="I20" s="67">
        <f t="shared" ref="I20:I22" ca="1" si="2">ROUND(E20-G20,2)</f>
        <v>1993195.76</v>
      </c>
      <c r="K20" s="67">
        <f t="shared" ref="K20:K22" ca="1" si="3">G20</f>
        <v>6593</v>
      </c>
      <c r="L20" s="30"/>
    </row>
    <row r="21" spans="1:12" ht="15" customHeight="1">
      <c r="A21" s="1" t="s">
        <v>49</v>
      </c>
      <c r="C21" s="67">
        <v>1000000</v>
      </c>
      <c r="E21" s="67">
        <f t="shared" ca="1" si="0"/>
        <v>999742.72</v>
      </c>
      <c r="G21" s="94">
        <f t="shared" ca="1" si="1"/>
        <v>3296</v>
      </c>
      <c r="I21" s="67">
        <f t="shared" ca="1" si="2"/>
        <v>996446.71999999997</v>
      </c>
      <c r="K21" s="67">
        <f t="shared" ca="1" si="3"/>
        <v>3296</v>
      </c>
      <c r="L21" s="30"/>
    </row>
    <row r="22" spans="1:12" ht="15" customHeight="1">
      <c r="A22" s="1" t="s">
        <v>50</v>
      </c>
      <c r="C22" s="67">
        <v>500000</v>
      </c>
      <c r="E22" s="67">
        <f t="shared" ca="1" si="0"/>
        <v>499871.36</v>
      </c>
      <c r="G22" s="94">
        <f t="shared" ca="1" si="1"/>
        <v>1648</v>
      </c>
      <c r="I22" s="67">
        <f t="shared" ca="1" si="2"/>
        <v>498223.35999999999</v>
      </c>
      <c r="K22" s="67">
        <f t="shared" ca="1" si="3"/>
        <v>1648</v>
      </c>
      <c r="L22" s="30"/>
    </row>
    <row r="23" spans="1:12" ht="15" customHeight="1">
      <c r="A23" s="34" t="s">
        <v>16</v>
      </c>
      <c r="C23" s="69">
        <f>SUM(C19:C22)</f>
        <v>5500000</v>
      </c>
      <c r="D23" s="15"/>
      <c r="E23" s="69">
        <f ca="1">SUM(E19:E22)</f>
        <v>5499191.6000000006</v>
      </c>
      <c r="F23" s="15"/>
      <c r="G23" s="68">
        <f ca="1">SUM(G19:G22)</f>
        <v>18130</v>
      </c>
      <c r="H23" s="15"/>
      <c r="I23" s="69">
        <f ca="1">SUM(I19:I22)</f>
        <v>5481061.6000000006</v>
      </c>
      <c r="J23" s="15"/>
      <c r="K23" s="69">
        <f ca="1">SUM(K19:K22)</f>
        <v>18130</v>
      </c>
      <c r="L23" s="30"/>
    </row>
    <row r="24" spans="1:12" ht="15" customHeight="1">
      <c r="A24" s="33"/>
      <c r="E24" s="30"/>
      <c r="G24" s="37"/>
      <c r="I24" s="38"/>
    </row>
    <row r="25" spans="1:12" ht="14.25" customHeight="1">
      <c r="A25" s="22" t="s">
        <v>17</v>
      </c>
      <c r="E25" s="30"/>
      <c r="G25" s="37"/>
      <c r="I25" s="38"/>
    </row>
    <row r="26" spans="1:12" ht="15" customHeight="1">
      <c r="A26" s="1" t="s">
        <v>51</v>
      </c>
      <c r="B26" s="26"/>
      <c r="C26" s="67">
        <v>1000000</v>
      </c>
      <c r="D26" s="27"/>
      <c r="E26" s="67">
        <f ca="1">(G26*$C$12)</f>
        <v>999742.72</v>
      </c>
      <c r="G26" s="20">
        <f ca="1">ROUNDDOWN(C26/$C$12,0)</f>
        <v>3296</v>
      </c>
      <c r="I26" s="67">
        <f t="shared" ref="I26:I27" ca="1" si="4">ROUND(E26-G26,2)</f>
        <v>996446.71999999997</v>
      </c>
      <c r="K26" s="67">
        <f t="shared" ref="K26:K27" ca="1" si="5">G26</f>
        <v>3296</v>
      </c>
    </row>
    <row r="27" spans="1:12" ht="15" customHeight="1">
      <c r="A27" s="1" t="s">
        <v>52</v>
      </c>
      <c r="B27" s="26"/>
      <c r="C27" s="67">
        <v>1000000</v>
      </c>
      <c r="D27" s="27"/>
      <c r="E27" s="67">
        <f ca="1">(G27*$C$12)</f>
        <v>999742.72</v>
      </c>
      <c r="G27" s="20">
        <f ca="1">ROUNDDOWN(C27/$C$12,0)</f>
        <v>3296</v>
      </c>
      <c r="I27" s="67">
        <f t="shared" ca="1" si="4"/>
        <v>996446.71999999997</v>
      </c>
      <c r="K27" s="67">
        <f t="shared" ca="1" si="5"/>
        <v>3296</v>
      </c>
    </row>
    <row r="28" spans="1:12" ht="15" customHeight="1">
      <c r="A28" s="34" t="s">
        <v>16</v>
      </c>
      <c r="B28" s="14"/>
      <c r="C28" s="69">
        <f>SUM(C26:C27)</f>
        <v>2000000</v>
      </c>
      <c r="D28" s="14"/>
      <c r="E28" s="69">
        <f ca="1">SUM(E26:E27)</f>
        <v>1999485.44</v>
      </c>
      <c r="F28" s="14"/>
      <c r="G28" s="191">
        <f ca="1">SUM(G26:G27)</f>
        <v>6592</v>
      </c>
      <c r="I28" s="69">
        <f ca="1">SUM(I26:I27)</f>
        <v>1992893.4399999999</v>
      </c>
      <c r="K28" s="69">
        <f ca="1">SUM(K26:K27)</f>
        <v>6592</v>
      </c>
    </row>
    <row r="29" spans="1:12" ht="15" customHeight="1">
      <c r="E29" s="30"/>
      <c r="G29" s="37"/>
      <c r="I29" s="38"/>
    </row>
    <row r="30" spans="1:12" ht="15" customHeight="1">
      <c r="A30" s="34"/>
      <c r="E30" s="30"/>
      <c r="G30" s="37"/>
      <c r="I30" s="38"/>
    </row>
    <row r="31" spans="1:12" ht="15" customHeight="1" thickBot="1">
      <c r="A31" s="73" t="s">
        <v>10</v>
      </c>
      <c r="B31" s="42"/>
      <c r="C31" s="78">
        <f>C23+C28</f>
        <v>7500000</v>
      </c>
      <c r="D31" s="42"/>
      <c r="E31" s="78">
        <f ca="1">E23+E28</f>
        <v>7498677.040000001</v>
      </c>
      <c r="F31" s="42"/>
      <c r="G31" s="74">
        <f ca="1">G23+G28</f>
        <v>24722</v>
      </c>
      <c r="H31" s="42"/>
      <c r="I31" s="78">
        <f ca="1">I23+I28</f>
        <v>7473955.040000001</v>
      </c>
      <c r="J31" s="41"/>
      <c r="K31" s="78">
        <f ca="1">K23+K28</f>
        <v>24722</v>
      </c>
    </row>
    <row r="32" spans="1:12" ht="15" customHeight="1">
      <c r="G32" s="41"/>
    </row>
    <row r="34" spans="1:5" ht="15" customHeight="1">
      <c r="A34" s="84" t="s">
        <v>24</v>
      </c>
      <c r="B34" s="82"/>
      <c r="C34" s="85"/>
    </row>
    <row r="35" spans="1:5" ht="15" customHeight="1">
      <c r="A35" s="45"/>
      <c r="C35" s="46"/>
    </row>
    <row r="36" spans="1:5" ht="15" customHeight="1">
      <c r="A36" s="70" t="s">
        <v>55</v>
      </c>
      <c r="C36" s="72">
        <v>0.1</v>
      </c>
    </row>
    <row r="37" spans="1:5" ht="15" customHeight="1">
      <c r="A37" s="45" t="s">
        <v>18</v>
      </c>
      <c r="C37" s="47">
        <f ca="1">'Post Completion'!N40</f>
        <v>164093</v>
      </c>
    </row>
    <row r="38" spans="1:5" ht="15" customHeight="1">
      <c r="A38" s="131" t="s">
        <v>167</v>
      </c>
      <c r="C38" s="47">
        <f ca="1">ROUNDDOWN(C36*C37,0)</f>
        <v>16409</v>
      </c>
      <c r="E38" s="98" t="s">
        <v>168</v>
      </c>
    </row>
    <row r="39" spans="1:5" ht="15" customHeight="1">
      <c r="A39" s="76" t="s">
        <v>60</v>
      </c>
      <c r="C39" s="47">
        <f>'Current Capitalisation -XX.2024'!C28</f>
        <v>10000</v>
      </c>
    </row>
    <row r="40" spans="1:5" ht="15" customHeight="1">
      <c r="A40" s="45" t="s">
        <v>19</v>
      </c>
      <c r="C40" s="47">
        <f>'Current Capitalisation -XX.2024'!$C$26</f>
        <v>2500</v>
      </c>
    </row>
    <row r="41" spans="1:5" ht="15" customHeight="1">
      <c r="A41" s="45" t="s">
        <v>26</v>
      </c>
      <c r="C41" s="47">
        <f>C39-C40</f>
        <v>7500</v>
      </c>
    </row>
    <row r="42" spans="1:5" ht="15" customHeight="1">
      <c r="A42" s="45"/>
      <c r="C42" s="46"/>
    </row>
    <row r="43" spans="1:5" ht="15" customHeight="1" thickBot="1">
      <c r="A43" s="86" t="s">
        <v>20</v>
      </c>
      <c r="B43" s="83"/>
      <c r="C43" s="87">
        <f ca="1">C38-C39</f>
        <v>6409</v>
      </c>
    </row>
    <row r="45" spans="1:5" ht="15" customHeight="1">
      <c r="A45" s="80" t="s">
        <v>64</v>
      </c>
      <c r="B45" s="79"/>
      <c r="C45" s="81">
        <f ca="1">G31+C43</f>
        <v>31131</v>
      </c>
    </row>
    <row r="46" spans="1:5" ht="15" customHeight="1">
      <c r="A46" s="80" t="s">
        <v>69</v>
      </c>
      <c r="B46" s="81"/>
      <c r="C46" s="97" t="s">
        <v>70</v>
      </c>
      <c r="E46" s="98" t="s">
        <v>71</v>
      </c>
    </row>
    <row r="47" spans="1:5" ht="15" customHeight="1">
      <c r="A47" s="80" t="s">
        <v>72</v>
      </c>
      <c r="B47" s="81"/>
      <c r="C47" s="97" t="s">
        <v>70</v>
      </c>
    </row>
    <row r="48" spans="1:5" ht="15" customHeight="1">
      <c r="A48" s="91"/>
    </row>
  </sheetData>
  <mergeCells count="2">
    <mergeCell ref="F1:I5"/>
    <mergeCell ref="A15:A16"/>
  </mergeCells>
  <pageMargins left="0.7" right="0.7" top="0.78740157499999996" bottom="0.78740157499999996" header="0.3" footer="0.3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749F7-FFCF-4254-8A2A-6078E94966E2}">
  <sheetPr codeName="Sheet4">
    <tabColor rgb="FF003145"/>
    <pageSetUpPr fitToPage="1"/>
  </sheetPr>
  <dimension ref="A1:T31"/>
  <sheetViews>
    <sheetView zoomScale="80" zoomScaleNormal="80" workbookViewId="0">
      <pane ySplit="5" topLeftCell="A6" activePane="bottomLeft" state="frozen"/>
      <selection pane="bottomLeft" activeCell="M24" sqref="M24:M26"/>
    </sheetView>
  </sheetViews>
  <sheetFormatPr defaultColWidth="11.42578125" defaultRowHeight="15" customHeight="1"/>
  <cols>
    <col min="1" max="1" width="50" style="3" customWidth="1"/>
    <col min="2" max="2" width="2.42578125" style="3" customWidth="1"/>
    <col min="3" max="3" width="25.7109375" style="3" customWidth="1"/>
    <col min="4" max="4" width="1.7109375" style="3" customWidth="1"/>
    <col min="5" max="5" width="25.7109375" style="3" customWidth="1"/>
    <col min="6" max="6" width="1.7109375" style="3" customWidth="1"/>
    <col min="7" max="7" width="25.7109375" style="3" customWidth="1"/>
    <col min="8" max="8" width="1.7109375" style="3" customWidth="1"/>
    <col min="9" max="9" width="25.7109375" style="3" customWidth="1"/>
    <col min="10" max="10" width="1.7109375" style="3" customWidth="1"/>
    <col min="11" max="11" width="25.7109375" style="3" customWidth="1"/>
    <col min="12" max="12" width="1.7109375" style="3" customWidth="1"/>
    <col min="13" max="13" width="25.7109375" style="3" customWidth="1"/>
    <col min="14" max="14" width="1.7109375" style="3" customWidth="1"/>
    <col min="15" max="15" width="25.7109375" style="3" customWidth="1"/>
    <col min="16" max="16" width="1.7109375" style="3" customWidth="1"/>
    <col min="17" max="17" width="25.7109375" style="3" customWidth="1"/>
    <col min="18" max="16384" width="11.42578125" style="3"/>
  </cols>
  <sheetData>
    <row r="1" spans="1:17" ht="18" customHeight="1">
      <c r="A1" s="16"/>
      <c r="B1" s="16"/>
      <c r="C1" s="18"/>
      <c r="D1" s="18"/>
      <c r="E1" s="16"/>
      <c r="F1" s="264"/>
      <c r="G1" s="264"/>
      <c r="H1" s="264"/>
      <c r="I1" s="264"/>
      <c r="J1" s="264"/>
      <c r="K1" s="264"/>
      <c r="L1" s="264"/>
      <c r="M1" s="264"/>
      <c r="N1" s="18"/>
      <c r="O1" s="16"/>
      <c r="P1" s="16"/>
      <c r="Q1" s="16"/>
    </row>
    <row r="2" spans="1:17" ht="15" customHeight="1">
      <c r="A2" s="16"/>
      <c r="B2" s="18"/>
      <c r="C2" s="18"/>
      <c r="D2" s="18"/>
      <c r="E2" s="16"/>
      <c r="F2" s="264"/>
      <c r="G2" s="264"/>
      <c r="H2" s="264"/>
      <c r="I2" s="264"/>
      <c r="J2" s="264"/>
      <c r="K2" s="264"/>
      <c r="L2" s="264"/>
      <c r="M2" s="264"/>
      <c r="N2" s="18"/>
      <c r="O2" s="16"/>
      <c r="P2" s="16"/>
      <c r="Q2" s="16"/>
    </row>
    <row r="3" spans="1:17" ht="15" customHeight="1">
      <c r="A3" s="16"/>
      <c r="B3" s="18"/>
      <c r="C3" s="18"/>
      <c r="D3" s="18"/>
      <c r="E3" s="17" t="s">
        <v>4</v>
      </c>
      <c r="F3" s="264"/>
      <c r="G3" s="264"/>
      <c r="H3" s="264"/>
      <c r="I3" s="264"/>
      <c r="J3" s="264"/>
      <c r="K3" s="264"/>
      <c r="L3" s="264"/>
      <c r="M3" s="264"/>
      <c r="N3" s="18"/>
      <c r="O3" s="16"/>
      <c r="P3" s="16"/>
      <c r="Q3" s="16"/>
    </row>
    <row r="4" spans="1:17" ht="15" customHeight="1">
      <c r="A4" s="16"/>
      <c r="B4" s="18"/>
      <c r="C4" s="18"/>
      <c r="D4" s="18"/>
      <c r="E4" s="16"/>
      <c r="F4" s="264"/>
      <c r="G4" s="264"/>
      <c r="H4" s="264"/>
      <c r="I4" s="264"/>
      <c r="J4" s="264"/>
      <c r="K4" s="264"/>
      <c r="L4" s="264"/>
      <c r="M4" s="264"/>
      <c r="N4" s="18"/>
      <c r="O4" s="16"/>
      <c r="P4" s="16"/>
      <c r="Q4" s="16"/>
    </row>
    <row r="5" spans="1:17" ht="15" customHeight="1">
      <c r="A5" s="16"/>
      <c r="B5" s="16"/>
      <c r="C5" s="18"/>
      <c r="D5" s="18"/>
      <c r="E5" s="16"/>
      <c r="F5" s="264"/>
      <c r="G5" s="264"/>
      <c r="H5" s="264"/>
      <c r="I5" s="264"/>
      <c r="J5" s="264"/>
      <c r="K5" s="264"/>
      <c r="L5" s="264"/>
      <c r="M5" s="264"/>
      <c r="N5" s="18"/>
      <c r="O5" s="16"/>
      <c r="P5" s="16"/>
      <c r="Q5" s="16"/>
    </row>
    <row r="6" spans="1:17" ht="15" customHeight="1">
      <c r="G6" s="15"/>
      <c r="H6" s="15"/>
      <c r="I6" s="15"/>
      <c r="J6" s="15"/>
      <c r="K6" s="15"/>
      <c r="L6" s="15"/>
      <c r="M6" s="15"/>
    </row>
    <row r="7" spans="1:17" ht="15" customHeight="1">
      <c r="A7" s="65" t="s">
        <v>29</v>
      </c>
      <c r="B7" s="48"/>
      <c r="C7" s="66"/>
      <c r="G7" s="15"/>
      <c r="H7" s="15"/>
      <c r="I7" s="15"/>
      <c r="J7" s="15"/>
      <c r="K7" s="15"/>
      <c r="L7" s="15"/>
      <c r="M7" s="15"/>
    </row>
    <row r="8" spans="1:17" ht="15" customHeight="1">
      <c r="A8" s="77" t="s">
        <v>65</v>
      </c>
      <c r="C8" s="93">
        <f ca="1">'Subscriptions - Series C'!C12</f>
        <v>303.32</v>
      </c>
      <c r="G8" s="15"/>
      <c r="H8" s="15"/>
      <c r="I8" s="15"/>
      <c r="J8" s="15"/>
      <c r="K8" s="15"/>
      <c r="L8" s="15"/>
      <c r="M8" s="15"/>
    </row>
    <row r="9" spans="1:17" ht="15" customHeight="1">
      <c r="A9" s="3" t="s">
        <v>30</v>
      </c>
      <c r="C9" s="50">
        <v>0.2</v>
      </c>
      <c r="G9" s="15"/>
      <c r="H9" s="15"/>
      <c r="I9" s="15"/>
      <c r="J9" s="15"/>
      <c r="K9" s="15"/>
      <c r="L9" s="15"/>
      <c r="M9" s="15"/>
    </row>
    <row r="10" spans="1:17" ht="15" customHeight="1">
      <c r="A10" s="3" t="s">
        <v>35</v>
      </c>
      <c r="C10" s="67">
        <f ca="1">C8-(ROUND((C9*C8),4))</f>
        <v>242.65600000000001</v>
      </c>
      <c r="G10" s="15"/>
      <c r="H10" s="15"/>
      <c r="I10" s="15"/>
      <c r="J10" s="15"/>
      <c r="K10" s="15"/>
      <c r="L10" s="15"/>
      <c r="M10" s="15"/>
    </row>
    <row r="11" spans="1:17" ht="15" customHeight="1">
      <c r="A11" s="3" t="s">
        <v>36</v>
      </c>
      <c r="C11" s="67">
        <f ca="1">C10</f>
        <v>242.65600000000001</v>
      </c>
      <c r="G11" s="15"/>
      <c r="H11" s="15"/>
      <c r="I11" s="15"/>
      <c r="J11" s="15"/>
      <c r="K11" s="15"/>
      <c r="L11" s="15"/>
      <c r="M11" s="15"/>
    </row>
    <row r="12" spans="1:17" ht="15" customHeight="1">
      <c r="A12" s="65" t="s">
        <v>31</v>
      </c>
      <c r="B12" s="48"/>
      <c r="C12" s="66"/>
      <c r="G12" s="15"/>
      <c r="H12" s="15"/>
      <c r="I12" s="15"/>
      <c r="J12" s="15"/>
      <c r="K12" s="15"/>
      <c r="L12" s="15"/>
      <c r="M12" s="15"/>
    </row>
    <row r="13" spans="1:17" ht="15" customHeight="1">
      <c r="A13" s="3" t="s">
        <v>31</v>
      </c>
      <c r="C13" s="67">
        <v>25000000</v>
      </c>
      <c r="G13" s="15"/>
      <c r="H13" s="15"/>
      <c r="I13" s="15"/>
      <c r="J13" s="15"/>
      <c r="K13" s="15"/>
      <c r="L13" s="15"/>
      <c r="M13" s="15"/>
    </row>
    <row r="14" spans="1:17" ht="15" customHeight="1">
      <c r="A14" s="135" t="s">
        <v>170</v>
      </c>
      <c r="C14" s="20">
        <f>'Current Capitalisation -XX.2024'!M28</f>
        <v>108000</v>
      </c>
      <c r="G14" s="15"/>
      <c r="H14" s="15"/>
      <c r="I14" s="15"/>
      <c r="J14" s="15"/>
      <c r="K14" s="15"/>
      <c r="L14" s="15"/>
      <c r="M14" s="15"/>
    </row>
    <row r="15" spans="1:17" ht="15" customHeight="1">
      <c r="A15" s="135" t="s">
        <v>171</v>
      </c>
      <c r="C15" s="67">
        <f>IF(C13&gt;0,(IF(C14&gt;0,(ROUND((C13/C14),4)),0)),0)</f>
        <v>231.48150000000001</v>
      </c>
      <c r="G15" s="15"/>
      <c r="H15" s="15"/>
      <c r="I15" s="15"/>
      <c r="J15" s="15"/>
      <c r="K15" s="15"/>
      <c r="L15" s="15"/>
      <c r="M15" s="15"/>
    </row>
    <row r="16" spans="1:17" ht="15" customHeight="1">
      <c r="A16" s="65" t="s">
        <v>32</v>
      </c>
      <c r="B16" s="48"/>
      <c r="C16" s="181">
        <f ca="1">MIN(C11,C15)-1</f>
        <v>230.48150000000001</v>
      </c>
      <c r="E16" s="99" t="s">
        <v>77</v>
      </c>
      <c r="G16" s="15"/>
      <c r="H16" s="15"/>
      <c r="I16" s="15"/>
      <c r="J16" s="15"/>
      <c r="K16" s="15"/>
      <c r="L16" s="15"/>
      <c r="M16" s="15"/>
    </row>
    <row r="17" spans="1:20" ht="15" customHeight="1">
      <c r="A17" s="3" t="s">
        <v>33</v>
      </c>
      <c r="C17" s="50">
        <v>0.08</v>
      </c>
      <c r="G17" s="15"/>
      <c r="H17" s="15"/>
      <c r="I17" s="15"/>
      <c r="J17" s="15"/>
      <c r="K17" s="15"/>
      <c r="L17" s="15"/>
      <c r="M17" s="15"/>
    </row>
    <row r="18" spans="1:20" ht="15" customHeight="1">
      <c r="A18" s="3" t="s">
        <v>34</v>
      </c>
      <c r="C18" s="49">
        <v>45107</v>
      </c>
      <c r="E18" s="99" t="s">
        <v>68</v>
      </c>
      <c r="G18" s="15"/>
      <c r="H18" s="15"/>
      <c r="I18" s="15"/>
      <c r="J18" s="15"/>
      <c r="K18" s="15"/>
      <c r="L18" s="15"/>
      <c r="M18" s="15"/>
      <c r="O18" s="15"/>
      <c r="Q18" s="15"/>
      <c r="R18" s="15"/>
      <c r="S18" s="15"/>
      <c r="T18" s="15"/>
    </row>
    <row r="19" spans="1:20" ht="15" customHeight="1">
      <c r="G19" s="15"/>
      <c r="H19" s="15"/>
      <c r="I19" s="15"/>
      <c r="J19" s="15"/>
      <c r="K19" s="15"/>
      <c r="L19" s="15"/>
      <c r="M19" s="15"/>
      <c r="O19" s="15"/>
      <c r="Q19" s="15"/>
      <c r="R19" s="15"/>
      <c r="S19" s="15"/>
      <c r="T19" s="15"/>
    </row>
    <row r="20" spans="1:20" ht="15" customHeight="1">
      <c r="G20" s="15"/>
      <c r="H20" s="15"/>
      <c r="I20" s="15"/>
      <c r="J20" s="15"/>
      <c r="K20" s="15"/>
      <c r="L20" s="15"/>
      <c r="M20" s="15"/>
      <c r="O20" s="15"/>
      <c r="Q20" s="15"/>
      <c r="R20" s="15"/>
      <c r="S20" s="15"/>
      <c r="T20" s="15"/>
    </row>
    <row r="21" spans="1:20" ht="15" customHeight="1">
      <c r="A21" s="265" t="s">
        <v>66</v>
      </c>
      <c r="B21" s="51"/>
      <c r="C21" s="265" t="s">
        <v>75</v>
      </c>
      <c r="D21" s="51"/>
      <c r="E21" s="265" t="s">
        <v>37</v>
      </c>
      <c r="F21" s="51"/>
      <c r="G21" s="265" t="s">
        <v>38</v>
      </c>
      <c r="H21" s="51"/>
      <c r="I21" s="265" t="s">
        <v>169</v>
      </c>
      <c r="J21" s="51"/>
      <c r="K21" s="282" t="s">
        <v>67</v>
      </c>
      <c r="L21" s="51"/>
      <c r="M21" s="282" t="s">
        <v>174</v>
      </c>
      <c r="N21" s="51"/>
      <c r="O21" s="282" t="s">
        <v>173</v>
      </c>
      <c r="P21" s="51"/>
      <c r="Q21" s="282" t="s">
        <v>177</v>
      </c>
      <c r="R21" s="56"/>
      <c r="S21" s="54"/>
      <c r="T21" s="54"/>
    </row>
    <row r="22" spans="1:20" ht="33" customHeight="1">
      <c r="A22" s="265"/>
      <c r="B22" s="52"/>
      <c r="C22" s="265"/>
      <c r="D22" s="52"/>
      <c r="E22" s="265"/>
      <c r="F22" s="52"/>
      <c r="G22" s="265"/>
      <c r="H22" s="52"/>
      <c r="I22" s="265"/>
      <c r="J22" s="52"/>
      <c r="K22" s="282"/>
      <c r="L22" s="52"/>
      <c r="M22" s="282"/>
      <c r="N22" s="52"/>
      <c r="O22" s="282"/>
      <c r="P22" s="52"/>
      <c r="Q22" s="282"/>
      <c r="R22" s="56"/>
      <c r="S22" s="54"/>
      <c r="T22" s="54"/>
    </row>
    <row r="23" spans="1:20" ht="21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 s="54"/>
      <c r="P23"/>
      <c r="Q23" s="54"/>
      <c r="R23" s="56"/>
      <c r="S23" s="54"/>
      <c r="T23" s="54"/>
    </row>
    <row r="24" spans="1:20" ht="15" customHeight="1">
      <c r="A24" s="64" t="s">
        <v>40</v>
      </c>
      <c r="B24"/>
      <c r="C24" s="133">
        <v>500000</v>
      </c>
      <c r="D24" s="61"/>
      <c r="E24" s="62">
        <f>DATE(2021,5,11)</f>
        <v>44327</v>
      </c>
      <c r="F24" s="61"/>
      <c r="G24" s="60">
        <f>DAYS360(E24,$C$18,TRUE)</f>
        <v>769</v>
      </c>
      <c r="H24" s="43"/>
      <c r="I24" s="133">
        <f>ROUND((((C24*$C$17)/360)*G24),2)</f>
        <v>85444.44</v>
      </c>
      <c r="J24" s="43"/>
      <c r="K24" s="133">
        <f>C24+I24</f>
        <v>585444.43999999994</v>
      </c>
      <c r="L24" s="43"/>
      <c r="M24" s="59">
        <f ca="1">ROUND((K24/$C$16),0)</f>
        <v>2540</v>
      </c>
      <c r="N24" s="43"/>
      <c r="O24" s="183">
        <f ca="1">M24</f>
        <v>2540</v>
      </c>
      <c r="P24" s="43"/>
      <c r="Q24" s="183">
        <f ca="1">C24+I24+O24</f>
        <v>587984.43999999994</v>
      </c>
      <c r="R24" s="56"/>
      <c r="S24" s="54"/>
      <c r="T24" s="54"/>
    </row>
    <row r="25" spans="1:20" ht="15" customHeight="1">
      <c r="A25" s="64" t="s">
        <v>41</v>
      </c>
      <c r="B25"/>
      <c r="C25" s="133">
        <v>2500000</v>
      </c>
      <c r="D25" s="61"/>
      <c r="E25" s="62">
        <f>DATE(2021,5,11)</f>
        <v>44327</v>
      </c>
      <c r="F25" s="61"/>
      <c r="G25" s="60">
        <f>DAYS360(E25,$C$18,TRUE)</f>
        <v>769</v>
      </c>
      <c r="H25" s="43"/>
      <c r="I25" s="133">
        <f>ROUND((((C25*$C$17)/360)*G25),2)</f>
        <v>427222.22</v>
      </c>
      <c r="J25" s="43"/>
      <c r="K25" s="133">
        <f>C25+I25</f>
        <v>2927222.2199999997</v>
      </c>
      <c r="L25" s="43"/>
      <c r="M25" s="59">
        <f ca="1">ROUND((K25/$C$16),0)</f>
        <v>12700</v>
      </c>
      <c r="N25" s="43"/>
      <c r="O25" s="183">
        <f ca="1">M25</f>
        <v>12700</v>
      </c>
      <c r="P25" s="43"/>
      <c r="Q25" s="183">
        <f ca="1">C25+I25+O25</f>
        <v>2939922.2199999997</v>
      </c>
      <c r="R25" s="56"/>
      <c r="S25" s="54"/>
      <c r="T25" s="54"/>
    </row>
    <row r="26" spans="1:20" ht="15" customHeight="1">
      <c r="A26" s="64" t="s">
        <v>42</v>
      </c>
      <c r="B26"/>
      <c r="C26" s="133">
        <v>1700000</v>
      </c>
      <c r="D26" s="61"/>
      <c r="E26" s="62">
        <f>DATE(2021,5,11)</f>
        <v>44327</v>
      </c>
      <c r="F26" s="61"/>
      <c r="G26" s="60">
        <f>DAYS360(E26,$C$18,TRUE)</f>
        <v>769</v>
      </c>
      <c r="H26" s="43"/>
      <c r="I26" s="133">
        <f>ROUND((((C26*$C$17)/360)*G26),2)</f>
        <v>290511.11</v>
      </c>
      <c r="J26" s="43"/>
      <c r="K26" s="133">
        <f>C26+I26</f>
        <v>1990511.1099999999</v>
      </c>
      <c r="L26" s="43"/>
      <c r="M26" s="59">
        <f ca="1">ROUND((K26/$C$16),0)</f>
        <v>8636</v>
      </c>
      <c r="N26" s="43"/>
      <c r="O26" s="183">
        <f ca="1">M26</f>
        <v>8636</v>
      </c>
      <c r="P26" s="43"/>
      <c r="Q26" s="183">
        <f ca="1">C26+I26+O26</f>
        <v>1999147.1099999999</v>
      </c>
      <c r="R26" s="56"/>
      <c r="S26" s="54"/>
      <c r="T26" s="54"/>
    </row>
    <row r="27" spans="1:20" ht="15" customHeight="1">
      <c r="A27" s="34"/>
      <c r="C27" s="67"/>
      <c r="E27" s="30"/>
      <c r="I27" s="178"/>
      <c r="K27" s="179"/>
      <c r="M27" s="63"/>
      <c r="O27" s="182"/>
    </row>
    <row r="28" spans="1:20" ht="15" customHeight="1" thickBot="1">
      <c r="A28" s="73" t="s">
        <v>10</v>
      </c>
      <c r="B28" s="42"/>
      <c r="C28" s="78">
        <f>SUM(C24:C26)</f>
        <v>4700000</v>
      </c>
      <c r="D28" s="42"/>
      <c r="E28" s="89"/>
      <c r="F28" s="42"/>
      <c r="G28" s="89"/>
      <c r="H28" s="42"/>
      <c r="I28" s="78">
        <f>SUM(I24:I26)</f>
        <v>803177.77</v>
      </c>
      <c r="J28" s="42"/>
      <c r="K28" s="180">
        <f>SUM(K24:K26)</f>
        <v>5503177.7699999996</v>
      </c>
      <c r="L28" s="42"/>
      <c r="M28" s="90">
        <f ca="1">SUM(M24:M26)</f>
        <v>23876</v>
      </c>
      <c r="N28" s="41"/>
      <c r="O28" s="180">
        <f ca="1">SUM(O24:O26)</f>
        <v>23876</v>
      </c>
      <c r="P28" s="41"/>
      <c r="Q28" s="180">
        <f ca="1">SUM(Q24:Q26)</f>
        <v>5527053.7699999996</v>
      </c>
    </row>
    <row r="29" spans="1:20" ht="15" customHeight="1">
      <c r="I29" s="41"/>
    </row>
    <row r="30" spans="1:20" ht="73.5" customHeight="1">
      <c r="G30" s="184" t="s">
        <v>175</v>
      </c>
      <c r="I30" s="132" t="s">
        <v>78</v>
      </c>
      <c r="K30" s="100" t="s">
        <v>79</v>
      </c>
      <c r="M30" s="185" t="s">
        <v>176</v>
      </c>
    </row>
    <row r="31" spans="1:20" ht="15" customHeight="1">
      <c r="G31" s="40"/>
    </row>
  </sheetData>
  <mergeCells count="10">
    <mergeCell ref="O21:O22"/>
    <mergeCell ref="Q21:Q22"/>
    <mergeCell ref="M21:M22"/>
    <mergeCell ref="F1:M5"/>
    <mergeCell ref="A21:A22"/>
    <mergeCell ref="C21:C22"/>
    <mergeCell ref="E21:E22"/>
    <mergeCell ref="G21:G22"/>
    <mergeCell ref="I21:I22"/>
    <mergeCell ref="K21:K22"/>
  </mergeCells>
  <pageMargins left="0.7" right="0.7" top="0.78740157499999996" bottom="0.78740157499999996" header="0.3" footer="0.3"/>
  <pageSetup paperSize="8" scale="8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6BE57-6334-4AC4-8ED6-CF757FAB1A96}">
  <sheetPr codeName="Sheet5">
    <tabColor rgb="FF003145"/>
    <pageSetUpPr fitToPage="1"/>
  </sheetPr>
  <dimension ref="A1:L22"/>
  <sheetViews>
    <sheetView zoomScale="80" zoomScaleNormal="80" workbookViewId="0">
      <pane ySplit="5" topLeftCell="A6" activePane="bottomLeft" state="frozen"/>
      <selection pane="bottomLeft" activeCell="C9" sqref="C9"/>
    </sheetView>
  </sheetViews>
  <sheetFormatPr defaultColWidth="11.42578125" defaultRowHeight="15" customHeight="1"/>
  <cols>
    <col min="1" max="1" width="50" style="3" customWidth="1"/>
    <col min="2" max="2" width="1.7109375" style="3" customWidth="1"/>
    <col min="3" max="3" width="25.7109375" style="3" customWidth="1"/>
    <col min="4" max="4" width="1.7109375" style="3" customWidth="1"/>
    <col min="5" max="5" width="25.5703125" style="3" customWidth="1"/>
    <col min="6" max="6" width="29.140625" style="3" customWidth="1"/>
    <col min="7" max="7" width="11.42578125" style="3"/>
    <col min="8" max="8" width="20.5703125" style="3" customWidth="1"/>
    <col min="9" max="16384" width="11.42578125" style="3"/>
  </cols>
  <sheetData>
    <row r="1" spans="1:12" ht="18" customHeight="1">
      <c r="A1" s="16"/>
      <c r="B1" s="18"/>
      <c r="C1" s="18"/>
      <c r="D1" s="18"/>
      <c r="E1" s="264"/>
      <c r="F1" s="18"/>
    </row>
    <row r="2" spans="1:12" ht="15" customHeight="1">
      <c r="A2" s="16"/>
      <c r="B2" s="18"/>
      <c r="C2" s="18"/>
      <c r="D2" s="18"/>
      <c r="E2" s="264"/>
      <c r="F2" s="18"/>
    </row>
    <row r="3" spans="1:12" ht="15" customHeight="1">
      <c r="A3" s="16"/>
      <c r="B3" s="18"/>
      <c r="C3" s="18"/>
      <c r="D3" s="18"/>
      <c r="E3" s="264"/>
      <c r="F3" s="18"/>
    </row>
    <row r="4" spans="1:12" ht="15" customHeight="1">
      <c r="A4" s="16"/>
      <c r="B4" s="18"/>
      <c r="C4" s="18"/>
      <c r="D4" s="18"/>
      <c r="E4" s="264"/>
      <c r="F4" s="18"/>
    </row>
    <row r="5" spans="1:12" ht="15" customHeight="1">
      <c r="A5" s="16"/>
      <c r="B5" s="18"/>
      <c r="C5" s="18"/>
      <c r="D5" s="18"/>
      <c r="E5" s="264"/>
      <c r="F5" s="18"/>
    </row>
    <row r="6" spans="1:12" ht="15" customHeight="1">
      <c r="E6" s="15"/>
    </row>
    <row r="7" spans="1:12" ht="15" customHeight="1">
      <c r="A7" s="77" t="s">
        <v>65</v>
      </c>
      <c r="C7" s="93">
        <f ca="1">'Subscriptions - Series C'!C12</f>
        <v>303.32</v>
      </c>
      <c r="E7" s="15"/>
    </row>
    <row r="8" spans="1:12" ht="15" customHeight="1">
      <c r="A8" s="91" t="s">
        <v>84</v>
      </c>
      <c r="C8" s="50">
        <v>0.15</v>
      </c>
      <c r="E8" s="15"/>
    </row>
    <row r="9" spans="1:12" ht="15" customHeight="1">
      <c r="A9" s="91" t="s">
        <v>73</v>
      </c>
      <c r="C9" s="93">
        <f ca="1">C7-(ROUND((C8*C7),4))</f>
        <v>257.822</v>
      </c>
      <c r="E9" s="15"/>
    </row>
    <row r="10" spans="1:12" ht="15" customHeight="1">
      <c r="E10" s="15"/>
      <c r="G10" s="15"/>
      <c r="H10" s="15"/>
      <c r="I10" s="15"/>
      <c r="J10" s="15"/>
      <c r="K10" s="15"/>
      <c r="L10" s="15"/>
    </row>
    <row r="11" spans="1:12" ht="15" customHeight="1">
      <c r="A11" s="265" t="s">
        <v>74</v>
      </c>
      <c r="B11" s="51"/>
      <c r="C11" s="265" t="s">
        <v>76</v>
      </c>
      <c r="D11" s="51"/>
      <c r="E11" s="21" t="s">
        <v>39</v>
      </c>
      <c r="G11" s="54"/>
      <c r="H11" s="58"/>
      <c r="I11" s="54"/>
      <c r="J11" s="56"/>
      <c r="K11" s="54"/>
      <c r="L11" s="54"/>
    </row>
    <row r="12" spans="1:12" ht="24" customHeight="1">
      <c r="A12" s="265"/>
      <c r="B12" s="52"/>
      <c r="C12" s="265"/>
      <c r="D12" s="52"/>
      <c r="E12" s="53" t="str">
        <f>'Subscriptions - Series C'!G15</f>
        <v>Series C Preferred</v>
      </c>
      <c r="G12" s="54"/>
      <c r="H12" s="58"/>
      <c r="I12" s="54"/>
      <c r="J12" s="56"/>
      <c r="K12" s="54"/>
      <c r="L12" s="54"/>
    </row>
    <row r="13" spans="1:12" ht="21.75" customHeight="1">
      <c r="A13"/>
      <c r="B13"/>
      <c r="C13"/>
      <c r="D13"/>
      <c r="E13"/>
      <c r="G13" s="54"/>
      <c r="H13" s="55"/>
      <c r="I13" s="54"/>
      <c r="J13" s="56"/>
      <c r="K13" s="54"/>
      <c r="L13" s="54"/>
    </row>
    <row r="14" spans="1:12" ht="15" customHeight="1">
      <c r="A14" s="64" t="s">
        <v>40</v>
      </c>
      <c r="B14" s="61"/>
      <c r="C14" s="133">
        <v>140000</v>
      </c>
      <c r="D14" s="61"/>
      <c r="E14" s="59">
        <f ca="1">ROUND(C14/$C$9,0)</f>
        <v>543</v>
      </c>
      <c r="F14" s="15"/>
      <c r="G14" s="54"/>
      <c r="H14" s="57"/>
      <c r="I14" s="54"/>
      <c r="J14" s="56"/>
      <c r="K14" s="54"/>
      <c r="L14" s="54"/>
    </row>
    <row r="15" spans="1:12" ht="15" customHeight="1">
      <c r="A15" s="64" t="s">
        <v>41</v>
      </c>
      <c r="B15" s="61"/>
      <c r="C15" s="133">
        <v>140000</v>
      </c>
      <c r="D15" s="61"/>
      <c r="E15" s="59">
        <f ca="1">ROUND(C15/$C$9,0)</f>
        <v>543</v>
      </c>
      <c r="F15" s="58"/>
      <c r="G15" s="54"/>
      <c r="H15" s="58"/>
      <c r="I15" s="54"/>
      <c r="J15" s="56"/>
      <c r="K15" s="54"/>
      <c r="L15" s="54"/>
    </row>
    <row r="16" spans="1:12" ht="15" customHeight="1">
      <c r="A16" s="34"/>
      <c r="C16" s="67"/>
      <c r="E16" s="104"/>
      <c r="F16" s="58"/>
    </row>
    <row r="17" spans="1:6" ht="15" customHeight="1" thickBot="1">
      <c r="A17" s="73" t="s">
        <v>10</v>
      </c>
      <c r="B17" s="42"/>
      <c r="C17" s="78">
        <f>SUM(C14:C15)</f>
        <v>280000</v>
      </c>
      <c r="D17" s="42"/>
      <c r="E17" s="90">
        <f ca="1">SUM(E14:E15)</f>
        <v>1086</v>
      </c>
      <c r="F17" s="55"/>
    </row>
    <row r="18" spans="1:6" ht="15" customHeight="1">
      <c r="F18" s="57"/>
    </row>
    <row r="19" spans="1:6" ht="15" customHeight="1">
      <c r="F19" s="58"/>
    </row>
    <row r="21" spans="1:6" ht="15" customHeight="1">
      <c r="A21" s="92"/>
    </row>
    <row r="22" spans="1:6" ht="15" customHeight="1">
      <c r="A22" s="40"/>
    </row>
  </sheetData>
  <mergeCells count="3">
    <mergeCell ref="E1:E5"/>
    <mergeCell ref="A11:A12"/>
    <mergeCell ref="C11:C12"/>
  </mergeCells>
  <pageMargins left="0.7" right="0.7" top="0.78740157499999996" bottom="0.78740157499999996" header="0.3" footer="0.3"/>
  <pageSetup paperSize="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9F69A-0D08-4A6F-B1BC-9E5934F341B9}">
  <sheetPr codeName="Sheet6">
    <tabColor rgb="FF003145"/>
    <pageSetUpPr fitToPage="1"/>
  </sheetPr>
  <dimension ref="A1:M17"/>
  <sheetViews>
    <sheetView tabSelected="1" zoomScale="80" zoomScaleNormal="80" workbookViewId="0">
      <pane ySplit="5" topLeftCell="A6" activePane="bottomLeft" state="frozen"/>
      <selection pane="bottomLeft" activeCell="G25" sqref="G25"/>
    </sheetView>
  </sheetViews>
  <sheetFormatPr defaultColWidth="11.42578125" defaultRowHeight="15" customHeight="1"/>
  <cols>
    <col min="1" max="1" width="50" style="3" customWidth="1"/>
    <col min="2" max="2" width="1.7109375" style="3" customWidth="1"/>
    <col min="3" max="3" width="29.140625" style="3" customWidth="1"/>
    <col min="4" max="4" width="1.7109375" style="3" customWidth="1"/>
    <col min="5" max="5" width="22.7109375" style="3" customWidth="1"/>
    <col min="6" max="6" width="1.7109375" style="3" customWidth="1"/>
    <col min="7" max="7" width="22.7109375" style="3" customWidth="1"/>
    <col min="8" max="8" width="1.7109375" style="3" customWidth="1"/>
    <col min="9" max="9" width="22.7109375" style="3" customWidth="1"/>
    <col min="10" max="10" width="1.7109375" style="3" customWidth="1"/>
    <col min="11" max="11" width="22.7109375" style="3" customWidth="1"/>
    <col min="12" max="12" width="1.7109375" style="3" customWidth="1"/>
    <col min="13" max="13" width="22.7109375" style="3" customWidth="1"/>
    <col min="14" max="16384" width="11.42578125" style="3"/>
  </cols>
  <sheetData>
    <row r="1" spans="1:13" ht="18" customHeight="1">
      <c r="A1" s="16"/>
      <c r="B1" s="16"/>
      <c r="C1" s="18"/>
      <c r="D1" s="18"/>
      <c r="E1" s="16"/>
      <c r="F1" s="264"/>
      <c r="G1" s="264"/>
      <c r="H1" s="264"/>
      <c r="I1" s="264"/>
      <c r="J1" s="264"/>
      <c r="K1" s="264"/>
      <c r="L1" s="264"/>
      <c r="M1" s="264"/>
    </row>
    <row r="2" spans="1:13" ht="15" customHeight="1">
      <c r="A2" s="16"/>
      <c r="B2" s="18"/>
      <c r="C2" s="18"/>
      <c r="D2" s="18"/>
      <c r="E2" s="16"/>
      <c r="F2" s="264"/>
      <c r="G2" s="264"/>
      <c r="H2" s="264"/>
      <c r="I2" s="264"/>
      <c r="J2" s="264"/>
      <c r="K2" s="264"/>
      <c r="L2" s="264"/>
      <c r="M2" s="264"/>
    </row>
    <row r="3" spans="1:13" ht="15" customHeight="1">
      <c r="A3" s="16"/>
      <c r="B3" s="18"/>
      <c r="C3" s="18"/>
      <c r="D3" s="18"/>
      <c r="E3" s="17" t="s">
        <v>4</v>
      </c>
      <c r="F3" s="264"/>
      <c r="G3" s="264"/>
      <c r="H3" s="264"/>
      <c r="I3" s="264"/>
      <c r="J3" s="264"/>
      <c r="K3" s="264"/>
      <c r="L3" s="264"/>
      <c r="M3" s="264"/>
    </row>
    <row r="4" spans="1:13" ht="15" customHeight="1">
      <c r="A4" s="16"/>
      <c r="B4" s="18"/>
      <c r="C4" s="18"/>
      <c r="D4" s="18"/>
      <c r="E4" s="16"/>
      <c r="F4" s="264"/>
      <c r="G4" s="264"/>
      <c r="H4" s="264"/>
      <c r="I4" s="264"/>
      <c r="J4" s="264"/>
      <c r="K4" s="264"/>
      <c r="L4" s="264"/>
      <c r="M4" s="264"/>
    </row>
    <row r="5" spans="1:13" ht="15" customHeight="1">
      <c r="A5" s="16"/>
      <c r="B5" s="16"/>
      <c r="C5" s="18"/>
      <c r="D5" s="18"/>
      <c r="E5" s="16"/>
      <c r="F5" s="264"/>
      <c r="G5" s="264"/>
      <c r="H5" s="264"/>
      <c r="I5" s="264"/>
      <c r="J5" s="264"/>
      <c r="K5" s="264"/>
      <c r="L5" s="264"/>
      <c r="M5" s="264"/>
    </row>
    <row r="6" spans="1:13" ht="15" customHeight="1">
      <c r="I6" s="15"/>
      <c r="J6" s="15"/>
      <c r="K6" s="15"/>
      <c r="L6" s="15"/>
    </row>
    <row r="7" spans="1:13" ht="15" customHeight="1">
      <c r="A7" s="77" t="s">
        <v>65</v>
      </c>
      <c r="C7" s="93">
        <f ca="1">'Subscriptions - Series C'!C12</f>
        <v>303.32</v>
      </c>
      <c r="E7" s="92" t="s">
        <v>253</v>
      </c>
      <c r="I7" s="15"/>
      <c r="J7" s="15"/>
      <c r="K7" s="15"/>
      <c r="L7" s="15"/>
    </row>
    <row r="8" spans="1:13" ht="15" customHeight="1">
      <c r="I8" s="15"/>
      <c r="J8" s="15"/>
      <c r="K8" s="15"/>
      <c r="L8" s="15"/>
      <c r="M8" s="15"/>
    </row>
    <row r="9" spans="1:13" ht="15" customHeight="1">
      <c r="A9" s="265" t="s">
        <v>85</v>
      </c>
      <c r="B9" s="51"/>
      <c r="C9" s="265" t="s">
        <v>86</v>
      </c>
      <c r="D9" s="51"/>
      <c r="E9" s="265" t="s">
        <v>87</v>
      </c>
      <c r="F9" s="51"/>
      <c r="G9" s="265" t="s">
        <v>254</v>
      </c>
      <c r="H9" s="51"/>
      <c r="I9" s="265" t="s">
        <v>88</v>
      </c>
      <c r="J9" s="51"/>
      <c r="K9" s="265" t="s">
        <v>89</v>
      </c>
      <c r="L9" s="51"/>
      <c r="M9" s="265" t="s">
        <v>166</v>
      </c>
    </row>
    <row r="10" spans="1:13" ht="7.5" customHeight="1">
      <c r="A10" s="265"/>
      <c r="B10" s="52"/>
      <c r="C10" s="265"/>
      <c r="D10" s="52"/>
      <c r="E10" s="265"/>
      <c r="F10" s="52"/>
      <c r="G10" s="265"/>
      <c r="H10" s="52"/>
      <c r="I10" s="265"/>
      <c r="J10" s="52"/>
      <c r="K10" s="265"/>
      <c r="L10" s="52"/>
      <c r="M10" s="265"/>
    </row>
    <row r="11" spans="1:13" ht="21.75" customHeight="1">
      <c r="A11"/>
      <c r="B11"/>
      <c r="C11"/>
      <c r="D11"/>
      <c r="E11"/>
      <c r="F11"/>
      <c r="G11"/>
      <c r="H11"/>
      <c r="I11"/>
      <c r="J11"/>
      <c r="K11"/>
      <c r="L11"/>
      <c r="M11" s="55"/>
    </row>
    <row r="12" spans="1:13" ht="15" customHeight="1">
      <c r="A12" s="64" t="str">
        <f>'Current Capitalisation -XX.2024'!A19</f>
        <v>[Shareholder 1]</v>
      </c>
      <c r="B12" s="61"/>
      <c r="C12" s="44" t="str">
        <f>'Subscriptions - Series C'!A19</f>
        <v>[Investor 1]</v>
      </c>
      <c r="D12" s="61"/>
      <c r="E12" s="62" t="str">
        <f>'Current Capitalisation -XX.2024'!G7</f>
        <v xml:space="preserve">Series A Preferred </v>
      </c>
      <c r="F12" s="61"/>
      <c r="G12" s="62" t="str">
        <f>'Subscriptions - Series C'!G15</f>
        <v>Series C Preferred</v>
      </c>
      <c r="H12" s="61"/>
      <c r="I12" s="60">
        <f>1000</f>
        <v>1000</v>
      </c>
      <c r="J12" s="43"/>
      <c r="K12" s="133">
        <f ca="1">C7</f>
        <v>303.32</v>
      </c>
      <c r="L12" s="43"/>
      <c r="M12" s="134">
        <f ca="1">I12*K12</f>
        <v>303320</v>
      </c>
    </row>
    <row r="13" spans="1:13" ht="15" customHeight="1">
      <c r="A13" s="64" t="str">
        <f>'Current Capitalisation -XX.2024'!A20</f>
        <v>[Shareholder 2]</v>
      </c>
      <c r="B13" s="61"/>
      <c r="C13" s="44" t="str">
        <f>'Subscriptions - Series C'!A20</f>
        <v>[Investor 2]</v>
      </c>
      <c r="D13" s="61"/>
      <c r="E13" s="62" t="str">
        <f>'Current Capitalisation -XX.2024'!G7</f>
        <v xml:space="preserve">Series A Preferred </v>
      </c>
      <c r="F13" s="61"/>
      <c r="G13" s="62" t="str">
        <f>'Subscriptions - Series C'!G15</f>
        <v>Series C Preferred</v>
      </c>
      <c r="H13" s="61"/>
      <c r="I13" s="60">
        <f>1000</f>
        <v>1000</v>
      </c>
      <c r="J13" s="43"/>
      <c r="K13" s="133">
        <f ca="1">C7</f>
        <v>303.32</v>
      </c>
      <c r="L13" s="43"/>
      <c r="M13" s="134">
        <f ca="1">I13*K13</f>
        <v>303320</v>
      </c>
    </row>
    <row r="14" spans="1:13" ht="15" customHeight="1">
      <c r="A14" s="34"/>
      <c r="E14" s="30"/>
      <c r="G14" s="30"/>
      <c r="K14" s="37"/>
      <c r="M14" s="67"/>
    </row>
    <row r="15" spans="1:13" ht="15" customHeight="1" thickBot="1">
      <c r="A15" s="73" t="s">
        <v>10</v>
      </c>
      <c r="B15" s="42"/>
      <c r="C15" s="88"/>
      <c r="D15" s="42"/>
      <c r="E15" s="89"/>
      <c r="F15" s="42"/>
      <c r="G15" s="89"/>
      <c r="H15" s="42"/>
      <c r="I15" s="89">
        <f>SUM(I12:I13)</f>
        <v>2000</v>
      </c>
      <c r="J15" s="42"/>
      <c r="K15" s="88"/>
      <c r="L15" s="42"/>
      <c r="M15" s="78">
        <f ca="1">SUM(M12:M13)</f>
        <v>606640</v>
      </c>
    </row>
    <row r="16" spans="1:13" ht="15" customHeight="1">
      <c r="K16" s="41"/>
    </row>
    <row r="17" spans="9:9" ht="15" customHeight="1">
      <c r="I17" s="40"/>
    </row>
  </sheetData>
  <mergeCells count="9">
    <mergeCell ref="M9:M10"/>
    <mergeCell ref="M1:M5"/>
    <mergeCell ref="F1:L5"/>
    <mergeCell ref="A9:A10"/>
    <mergeCell ref="C9:C10"/>
    <mergeCell ref="E9:E10"/>
    <mergeCell ref="I9:I10"/>
    <mergeCell ref="K9:K10"/>
    <mergeCell ref="G9:G10"/>
  </mergeCells>
  <pageMargins left="0.7" right="0.7" top="0.78740157499999996" bottom="0.78740157499999996" header="0.3" footer="0.3"/>
  <pageSetup paperSize="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25342-5B25-48D5-8CE0-F5D7724C5F8E}">
  <sheetPr codeName="Sheet7">
    <tabColor rgb="FF003145"/>
    <pageSetUpPr fitToPage="1"/>
  </sheetPr>
  <dimension ref="A1:P52"/>
  <sheetViews>
    <sheetView zoomScale="80" zoomScaleNormal="80" workbookViewId="0">
      <selection activeCell="G50" sqref="G50"/>
    </sheetView>
  </sheetViews>
  <sheetFormatPr defaultColWidth="11.42578125" defaultRowHeight="15" customHeight="1"/>
  <cols>
    <col min="1" max="1" width="50" style="3" customWidth="1"/>
    <col min="2" max="2" width="1.7109375" style="3" customWidth="1"/>
    <col min="3" max="3" width="25.7109375" style="3" customWidth="1"/>
    <col min="4" max="4" width="1.7109375" style="3" customWidth="1"/>
    <col min="5" max="9" width="25.7109375" style="3" customWidth="1"/>
    <col min="10" max="10" width="1.7109375" style="3" customWidth="1"/>
    <col min="11" max="12" width="20.7109375" style="3" customWidth="1"/>
    <col min="13" max="13" width="1.7109375" style="3" customWidth="1"/>
    <col min="14" max="15" width="20.7109375" style="3" customWidth="1"/>
    <col min="16" max="16384" width="11.42578125" style="3"/>
  </cols>
  <sheetData>
    <row r="1" spans="1:16" ht="18" customHeight="1">
      <c r="A1" s="16"/>
      <c r="B1" s="16"/>
      <c r="C1" s="16"/>
      <c r="D1" s="16"/>
      <c r="E1" s="16"/>
      <c r="F1" s="18"/>
      <c r="G1" s="18"/>
      <c r="H1" s="16"/>
      <c r="I1" s="16"/>
      <c r="J1" s="264"/>
      <c r="K1" s="264"/>
      <c r="L1" s="264"/>
      <c r="M1" s="264"/>
      <c r="N1" s="264"/>
      <c r="O1" s="264"/>
    </row>
    <row r="2" spans="1:16" ht="15" customHeight="1">
      <c r="A2" s="16"/>
      <c r="B2" s="16"/>
      <c r="C2" s="16"/>
      <c r="D2" s="16"/>
      <c r="E2" s="18"/>
      <c r="F2" s="18"/>
      <c r="G2" s="18"/>
      <c r="H2" s="16"/>
      <c r="I2" s="16"/>
      <c r="J2" s="264"/>
      <c r="K2" s="264"/>
      <c r="L2" s="264"/>
      <c r="M2" s="264"/>
      <c r="N2" s="264"/>
      <c r="O2" s="264"/>
    </row>
    <row r="3" spans="1:16" ht="15" customHeight="1">
      <c r="A3" s="16"/>
      <c r="B3" s="16"/>
      <c r="C3" s="16"/>
      <c r="D3" s="16"/>
      <c r="E3" s="18"/>
      <c r="F3" s="18"/>
      <c r="G3" s="18"/>
      <c r="H3" s="17" t="s">
        <v>4</v>
      </c>
      <c r="I3" s="17"/>
      <c r="J3" s="264"/>
      <c r="K3" s="264"/>
      <c r="L3" s="264"/>
      <c r="M3" s="264"/>
      <c r="N3" s="264"/>
      <c r="O3" s="264"/>
    </row>
    <row r="4" spans="1:16" ht="15" customHeight="1">
      <c r="A4" s="16"/>
      <c r="B4" s="16"/>
      <c r="C4" s="16"/>
      <c r="D4" s="16"/>
      <c r="E4" s="18"/>
      <c r="F4" s="18"/>
      <c r="G4" s="18"/>
      <c r="H4" s="16"/>
      <c r="I4" s="16"/>
      <c r="J4" s="264"/>
      <c r="K4" s="264"/>
      <c r="L4" s="264"/>
      <c r="M4" s="264"/>
      <c r="N4" s="264"/>
      <c r="O4" s="264"/>
    </row>
    <row r="5" spans="1:16" ht="15" customHeight="1">
      <c r="A5" s="16"/>
      <c r="B5" s="16"/>
      <c r="C5" s="16"/>
      <c r="D5" s="16"/>
      <c r="E5" s="16"/>
      <c r="F5" s="18"/>
      <c r="G5" s="18"/>
      <c r="H5" s="16"/>
      <c r="I5" s="16"/>
      <c r="J5" s="264"/>
      <c r="K5" s="264"/>
      <c r="L5" s="264"/>
      <c r="M5" s="264"/>
      <c r="N5" s="264"/>
      <c r="O5" s="264"/>
    </row>
    <row r="6" spans="1:16" ht="15" customHeight="1">
      <c r="K6" s="15"/>
      <c r="L6" s="15"/>
      <c r="M6" s="15"/>
      <c r="N6" s="15"/>
      <c r="O6" s="15"/>
    </row>
    <row r="7" spans="1:16" ht="15" customHeight="1">
      <c r="A7" s="265" t="s">
        <v>1</v>
      </c>
      <c r="B7" s="39"/>
      <c r="C7" s="21" t="str">
        <f>'Current Capitalisation -XX.2024'!C7</f>
        <v>Common Shares</v>
      </c>
      <c r="D7" s="39"/>
      <c r="E7" s="21" t="str">
        <f>'Current Capitalisation -XX.2024'!E7</f>
        <v xml:space="preserve">Common </v>
      </c>
      <c r="F7" s="21" t="str">
        <f>'Current Capitalisation -XX.2024'!F7</f>
        <v xml:space="preserve">Seed Preferred </v>
      </c>
      <c r="G7" s="21" t="str">
        <f>'Current Capitalisation -XX.2024'!G7</f>
        <v xml:space="preserve">Series A Preferred </v>
      </c>
      <c r="H7" s="21" t="str">
        <f>'Current Capitalisation -XX.2024'!H7</f>
        <v>Series B Preferred</v>
      </c>
      <c r="I7" s="21" t="str">
        <f>'Subscriptions - Series C'!G15</f>
        <v>Series C Preferred</v>
      </c>
      <c r="K7" s="266" t="s">
        <v>5</v>
      </c>
      <c r="L7" s="266"/>
      <c r="M7" s="15"/>
      <c r="N7" s="266" t="s">
        <v>6</v>
      </c>
      <c r="O7" s="266"/>
    </row>
    <row r="8" spans="1:16" ht="15" customHeight="1">
      <c r="A8" s="265"/>
      <c r="B8" s="39"/>
      <c r="C8" s="21" t="s">
        <v>7</v>
      </c>
      <c r="D8" s="39"/>
      <c r="E8" s="21" t="s">
        <v>8</v>
      </c>
      <c r="F8" s="21" t="s">
        <v>8</v>
      </c>
      <c r="G8" s="21" t="s">
        <v>8</v>
      </c>
      <c r="H8" s="21" t="s">
        <v>8</v>
      </c>
      <c r="I8" s="21" t="s">
        <v>8</v>
      </c>
      <c r="K8" s="21" t="s">
        <v>8</v>
      </c>
      <c r="L8" s="21" t="s">
        <v>13</v>
      </c>
      <c r="M8" s="15"/>
      <c r="N8" s="21" t="s">
        <v>8</v>
      </c>
      <c r="O8" s="21" t="s">
        <v>13</v>
      </c>
    </row>
    <row r="9" spans="1:16" ht="15" customHeight="1">
      <c r="K9" s="20"/>
    </row>
    <row r="10" spans="1:16" ht="14.25" customHeight="1">
      <c r="A10" s="24" t="s">
        <v>9</v>
      </c>
      <c r="B10" s="24"/>
      <c r="C10" s="24"/>
      <c r="D10" s="24"/>
      <c r="K10" s="20"/>
    </row>
    <row r="11" spans="1:16" ht="15" customHeight="1">
      <c r="A11" s="1" t="str">
        <f>'Current Capitalisation -XX.2024'!A11</f>
        <v>[Founder 1]</v>
      </c>
      <c r="B11" s="1"/>
      <c r="C11" s="1"/>
      <c r="D11" s="1"/>
      <c r="E11" s="5">
        <f>'Current Capitalisation -XX.2024'!E11</f>
        <v>12500</v>
      </c>
      <c r="G11" s="20"/>
      <c r="H11" s="20"/>
      <c r="I11" s="20"/>
      <c r="K11" s="20">
        <f t="shared" ref="K11:K33" si="0">SUM(E11:I11)</f>
        <v>12500</v>
      </c>
      <c r="L11" s="29">
        <f ca="1">K11/$K$40</f>
        <v>8.4640177676660974E-2</v>
      </c>
      <c r="N11" s="20">
        <f>SUM(C11:I11)</f>
        <v>12500</v>
      </c>
      <c r="O11" s="29">
        <f ca="1">N11/$N$40</f>
        <v>7.6176314650838239E-2</v>
      </c>
    </row>
    <row r="12" spans="1:16" ht="15" customHeight="1">
      <c r="A12" s="1" t="str">
        <f>'Current Capitalisation -XX.2024'!A12</f>
        <v>[Founder 2]</v>
      </c>
      <c r="B12" s="1"/>
      <c r="C12" s="1"/>
      <c r="D12" s="1"/>
      <c r="E12" s="5">
        <f>'Current Capitalisation -XX.2024'!E12</f>
        <v>12500</v>
      </c>
      <c r="G12" s="20"/>
      <c r="H12" s="20"/>
      <c r="I12" s="20"/>
      <c r="K12" s="20">
        <f t="shared" si="0"/>
        <v>12500</v>
      </c>
      <c r="L12" s="29">
        <f ca="1">K12/$K$40</f>
        <v>8.4640177676660974E-2</v>
      </c>
      <c r="N12" s="20">
        <f>SUM(C12:I12)</f>
        <v>12500</v>
      </c>
      <c r="O12" s="29">
        <f ca="1">N12/$N$40</f>
        <v>7.6176314650838239E-2</v>
      </c>
    </row>
    <row r="13" spans="1:16" ht="15" customHeight="1">
      <c r="A13" s="1"/>
      <c r="C13" s="1"/>
      <c r="E13" s="5"/>
      <c r="G13" s="20"/>
      <c r="H13" s="20"/>
      <c r="I13" s="20"/>
      <c r="K13" s="20"/>
      <c r="L13" s="29"/>
      <c r="N13" s="20"/>
      <c r="O13" s="29"/>
      <c r="P13" s="75">
        <f ca="1">SUM(O11:O12)</f>
        <v>0.15235262930167648</v>
      </c>
    </row>
    <row r="14" spans="1:16" ht="15" customHeight="1">
      <c r="A14" s="95" t="str">
        <f>'Current Capitalisation -XX.2024'!A14</f>
        <v xml:space="preserve">Common Shareholders </v>
      </c>
      <c r="B14" s="25"/>
      <c r="C14" s="1"/>
      <c r="D14" s="25"/>
      <c r="E14" s="5"/>
      <c r="G14" s="20"/>
      <c r="H14" s="20"/>
      <c r="I14" s="20"/>
      <c r="K14" s="20"/>
      <c r="L14" s="29">
        <f ca="1">K14/$K$40</f>
        <v>0</v>
      </c>
      <c r="N14" s="20"/>
      <c r="O14" s="29"/>
    </row>
    <row r="15" spans="1:16" ht="15" customHeight="1">
      <c r="A15" s="1" t="str">
        <f>'Current Capitalisation -XX.2024'!A15</f>
        <v>[Name]</v>
      </c>
      <c r="B15" s="1"/>
      <c r="C15" s="1"/>
      <c r="D15" s="1"/>
      <c r="E15" s="20">
        <f>'Current Capitalisation -XX.2024'!E15</f>
        <v>10000</v>
      </c>
      <c r="G15" s="20"/>
      <c r="H15" s="20"/>
      <c r="I15" s="20"/>
      <c r="K15" s="20">
        <f>SUM(E15:I15)</f>
        <v>10000</v>
      </c>
      <c r="L15" s="29">
        <f ca="1">K15/$K$40</f>
        <v>6.7712142141328785E-2</v>
      </c>
      <c r="N15" s="20">
        <f>SUM(C15:I15)</f>
        <v>10000</v>
      </c>
      <c r="O15" s="29">
        <f ca="1">N15/$N$40</f>
        <v>6.0941051720670596E-2</v>
      </c>
    </row>
    <row r="16" spans="1:16" ht="15" customHeight="1">
      <c r="A16" s="1" t="str">
        <f>'Current Capitalisation -XX.2024'!A16</f>
        <v>[Name]</v>
      </c>
      <c r="B16" s="1"/>
      <c r="C16" s="1"/>
      <c r="D16" s="1"/>
      <c r="E16" s="20">
        <f>'Current Capitalisation -XX.2024'!E16</f>
        <v>10000</v>
      </c>
      <c r="G16" s="20"/>
      <c r="H16" s="20"/>
      <c r="I16" s="20"/>
      <c r="K16" s="20">
        <f>SUM(E16:I16)</f>
        <v>10000</v>
      </c>
      <c r="L16" s="29">
        <f ca="1">K16/$K$40</f>
        <v>6.7712142141328785E-2</v>
      </c>
      <c r="N16" s="20">
        <f>SUM(C16:I16)</f>
        <v>10000</v>
      </c>
      <c r="O16" s="29">
        <f ca="1">N16/$N$40</f>
        <v>6.0941051720670596E-2</v>
      </c>
    </row>
    <row r="17" spans="1:16" ht="15" customHeight="1">
      <c r="A17" s="1"/>
      <c r="B17" s="1"/>
      <c r="C17" s="1"/>
      <c r="D17" s="1"/>
      <c r="E17" s="20"/>
      <c r="F17" s="20"/>
      <c r="G17" s="20"/>
      <c r="H17" s="20"/>
      <c r="I17" s="20"/>
      <c r="K17" s="20"/>
      <c r="L17" s="29"/>
      <c r="N17" s="20"/>
      <c r="O17" s="29"/>
      <c r="P17" s="75">
        <f ca="1">SUM(O15:O16)</f>
        <v>0.12188210344134119</v>
      </c>
    </row>
    <row r="18" spans="1:16" ht="15" customHeight="1">
      <c r="A18" s="95" t="str">
        <f>'Current Capitalisation -XX.2024'!A18</f>
        <v>Preferred Shareholders / Investors</v>
      </c>
      <c r="B18" s="25"/>
      <c r="C18" s="1"/>
      <c r="D18" s="25"/>
      <c r="E18" s="20"/>
      <c r="F18" s="20"/>
      <c r="G18" s="20"/>
      <c r="H18" s="20"/>
      <c r="I18" s="20"/>
      <c r="K18" s="20"/>
      <c r="L18" s="29"/>
      <c r="N18" s="20"/>
      <c r="O18" s="29"/>
    </row>
    <row r="19" spans="1:16" ht="15" customHeight="1">
      <c r="A19" s="1" t="str">
        <f>'Current Capitalisation -XX.2024'!A19</f>
        <v>[Shareholder 1]</v>
      </c>
      <c r="B19" s="1"/>
      <c r="C19" s="1"/>
      <c r="D19" s="1"/>
      <c r="E19" s="20"/>
      <c r="F19" s="20">
        <f>'Current Capitalisation -XX.2024'!$F$19</f>
        <v>2000</v>
      </c>
      <c r="G19" s="20">
        <f>'Current Capitalisation -XX.2024'!G19-Secondary!I12</f>
        <v>8000</v>
      </c>
      <c r="H19" s="20"/>
      <c r="I19" s="20"/>
      <c r="K19" s="20">
        <f t="shared" si="0"/>
        <v>10000</v>
      </c>
      <c r="L19" s="29">
        <f ca="1">K19/$K$40</f>
        <v>6.7712142141328785E-2</v>
      </c>
      <c r="N19" s="20">
        <f t="shared" ref="N19:N38" si="1">SUM(C19:I19)</f>
        <v>10000</v>
      </c>
      <c r="O19" s="29">
        <f ca="1">N19/$N$40</f>
        <v>6.0941051720670596E-2</v>
      </c>
    </row>
    <row r="20" spans="1:16" ht="15" customHeight="1">
      <c r="A20" s="1" t="str">
        <f>'Current Capitalisation -XX.2024'!A20</f>
        <v>[Shareholder 2]</v>
      </c>
      <c r="B20" s="1"/>
      <c r="C20" s="1"/>
      <c r="D20" s="1"/>
      <c r="E20" s="20"/>
      <c r="F20" s="20">
        <f>'Current Capitalisation -XX.2024'!$F$20</f>
        <v>1000</v>
      </c>
      <c r="G20" s="20">
        <f>'Current Capitalisation -XX.2024'!G20-Secondary!I13</f>
        <v>8000</v>
      </c>
      <c r="H20" s="20">
        <f>'Current Capitalisation -XX.2024'!H20</f>
        <v>7000</v>
      </c>
      <c r="I20" s="20"/>
      <c r="K20" s="20">
        <f t="shared" si="0"/>
        <v>16000</v>
      </c>
      <c r="L20" s="29">
        <f ca="1">K20/$K$40</f>
        <v>0.10833942742612605</v>
      </c>
      <c r="N20" s="20">
        <f t="shared" si="1"/>
        <v>16000</v>
      </c>
      <c r="O20" s="29">
        <f ca="1">N20/$N$40</f>
        <v>9.7505682753072948E-2</v>
      </c>
    </row>
    <row r="21" spans="1:16" ht="15" customHeight="1">
      <c r="A21" s="1" t="str">
        <f>'Current Capitalisation -XX.2024'!A21</f>
        <v>[Shareholder 3]</v>
      </c>
      <c r="B21" s="1"/>
      <c r="C21" s="1"/>
      <c r="D21" s="1"/>
      <c r="E21" s="20"/>
      <c r="F21" s="20"/>
      <c r="G21" s="20">
        <f>'Current Capitalisation -XX.2024'!G21</f>
        <v>9000</v>
      </c>
      <c r="H21" s="20">
        <f>'Current Capitalisation -XX.2024'!H21</f>
        <v>7000</v>
      </c>
      <c r="I21" s="20"/>
      <c r="K21" s="20">
        <f t="shared" si="0"/>
        <v>16000</v>
      </c>
      <c r="L21" s="29">
        <f ca="1">K21/$K$40</f>
        <v>0.10833942742612605</v>
      </c>
      <c r="N21" s="20">
        <f t="shared" si="1"/>
        <v>16000</v>
      </c>
      <c r="O21" s="29">
        <f ca="1">N21/$N$40</f>
        <v>9.7505682753072948E-2</v>
      </c>
    </row>
    <row r="22" spans="1:16" ht="15" customHeight="1">
      <c r="A22" s="1" t="str">
        <f>'Current Capitalisation -XX.2024'!A22</f>
        <v>[Shareholder 4]</v>
      </c>
      <c r="B22" s="1"/>
      <c r="C22" s="1"/>
      <c r="D22" s="1"/>
      <c r="E22" s="20"/>
      <c r="F22" s="20"/>
      <c r="G22" s="20">
        <f>'Current Capitalisation -XX.2024'!G22</f>
        <v>9000</v>
      </c>
      <c r="H22" s="20"/>
      <c r="I22" s="20"/>
      <c r="K22" s="20">
        <f t="shared" si="0"/>
        <v>9000</v>
      </c>
      <c r="L22" s="29">
        <f ca="1">K22/$K$40</f>
        <v>6.0940927927195902E-2</v>
      </c>
      <c r="N22" s="20">
        <f t="shared" si="1"/>
        <v>9000</v>
      </c>
      <c r="O22" s="29">
        <f ca="1">N22/$N$40</f>
        <v>5.4846946548603538E-2</v>
      </c>
    </row>
    <row r="23" spans="1:16" ht="15" customHeight="1">
      <c r="A23" s="1"/>
      <c r="B23" s="1"/>
      <c r="C23" s="1"/>
      <c r="D23" s="1"/>
      <c r="E23" s="20"/>
      <c r="F23" s="20"/>
      <c r="G23" s="20"/>
      <c r="H23" s="20"/>
      <c r="I23" s="20"/>
      <c r="K23" s="20"/>
      <c r="L23" s="29"/>
      <c r="N23" s="20"/>
      <c r="O23" s="29"/>
    </row>
    <row r="24" spans="1:16" ht="14.25" customHeight="1">
      <c r="A24" s="1" t="str">
        <f>'CLA Conversion'!A24</f>
        <v>[Holder 1]</v>
      </c>
      <c r="B24" s="1"/>
      <c r="C24" s="1"/>
      <c r="D24" s="1"/>
      <c r="E24" s="20"/>
      <c r="G24" s="20"/>
      <c r="H24" s="20"/>
      <c r="I24" s="20">
        <f ca="1">'CLA Conversion'!M24+Warrant!E14</f>
        <v>3083</v>
      </c>
      <c r="K24" s="20">
        <f ca="1">SUM(E24:I24)</f>
        <v>3083</v>
      </c>
      <c r="L24" s="29">
        <f ca="1">K24/$K$40</f>
        <v>2.0875653422171663E-2</v>
      </c>
      <c r="N24" s="20">
        <f ca="1">SUM(C24:I24)</f>
        <v>3083</v>
      </c>
      <c r="O24" s="29">
        <f ca="1">N24/$N$40</f>
        <v>1.8788126245482744E-2</v>
      </c>
    </row>
    <row r="25" spans="1:16" ht="15" customHeight="1">
      <c r="A25" s="1" t="str">
        <f>'CLA Conversion'!A25</f>
        <v>[Holder 2]</v>
      </c>
      <c r="B25" s="1"/>
      <c r="D25" s="1"/>
      <c r="E25" s="20"/>
      <c r="G25" s="20"/>
      <c r="H25" s="20"/>
      <c r="I25" s="20">
        <f ca="1">'CLA Conversion'!M25+Warrant!E15</f>
        <v>13243</v>
      </c>
      <c r="K25" s="20">
        <f t="shared" ca="1" si="0"/>
        <v>13243</v>
      </c>
      <c r="L25" s="29">
        <f ca="1">K25/$K$40</f>
        <v>8.9671189837761706E-2</v>
      </c>
      <c r="N25" s="20">
        <f t="shared" ca="1" si="1"/>
        <v>13243</v>
      </c>
      <c r="O25" s="29">
        <f ca="1">N25/$N$40</f>
        <v>8.0704234793684063E-2</v>
      </c>
    </row>
    <row r="26" spans="1:16" ht="15" customHeight="1">
      <c r="A26" s="1" t="str">
        <f>'CLA Conversion'!A26</f>
        <v>[Holder 3]</v>
      </c>
      <c r="B26" s="1"/>
      <c r="D26" s="1"/>
      <c r="E26" s="20"/>
      <c r="G26" s="20"/>
      <c r="H26" s="20"/>
      <c r="I26" s="20">
        <f ca="1">'CLA Conversion'!M26</f>
        <v>8636</v>
      </c>
      <c r="K26" s="20">
        <f t="shared" ca="1" si="0"/>
        <v>8636</v>
      </c>
      <c r="L26" s="29">
        <f ca="1">K26/$K$40</f>
        <v>5.8476205953251537E-2</v>
      </c>
      <c r="N26" s="20">
        <f t="shared" ca="1" si="1"/>
        <v>8636</v>
      </c>
      <c r="O26" s="29">
        <f ca="1">N26/$N$40</f>
        <v>5.2628692265971125E-2</v>
      </c>
    </row>
    <row r="27" spans="1:16" ht="15" customHeight="1">
      <c r="A27" s="1"/>
      <c r="B27" s="1"/>
      <c r="D27" s="1"/>
      <c r="E27" s="20"/>
      <c r="G27" s="20"/>
      <c r="H27" s="20"/>
      <c r="I27" s="20"/>
      <c r="K27" s="20"/>
      <c r="L27" s="29"/>
      <c r="N27" s="20"/>
      <c r="O27" s="29"/>
    </row>
    <row r="28" spans="1:16" ht="15" customHeight="1">
      <c r="A28" s="1" t="str">
        <f>'Subscriptions - Series C'!A19</f>
        <v>[Investor 1]</v>
      </c>
      <c r="B28" s="1"/>
      <c r="D28" s="1"/>
      <c r="E28" s="20"/>
      <c r="G28" s="20"/>
      <c r="H28" s="20"/>
      <c r="I28" s="20">
        <f ca="1">'Subscriptions - Series C'!G19+Secondary!I12</f>
        <v>7593</v>
      </c>
      <c r="K28" s="20">
        <f t="shared" ca="1" si="0"/>
        <v>7593</v>
      </c>
      <c r="L28" s="29">
        <f t="shared" ref="L28:L33" ca="1" si="2">K28/$K$40</f>
        <v>5.1413829527910945E-2</v>
      </c>
      <c r="N28" s="20">
        <f t="shared" ca="1" si="1"/>
        <v>7593</v>
      </c>
      <c r="O28" s="29">
        <f t="shared" ref="O28:O33" ca="1" si="3">N28/$N$40</f>
        <v>4.6272540571505184E-2</v>
      </c>
    </row>
    <row r="29" spans="1:16" ht="15" customHeight="1">
      <c r="A29" s="1" t="str">
        <f>'Subscriptions - Series C'!A20</f>
        <v>[Investor 2]</v>
      </c>
      <c r="B29" s="1"/>
      <c r="D29" s="1"/>
      <c r="E29" s="20"/>
      <c r="G29" s="20"/>
      <c r="H29" s="20"/>
      <c r="I29" s="20">
        <f ca="1">'Subscriptions - Series C'!G20+Secondary!I13</f>
        <v>7593</v>
      </c>
      <c r="K29" s="20">
        <f t="shared" ca="1" si="0"/>
        <v>7593</v>
      </c>
      <c r="L29" s="29">
        <f t="shared" ca="1" si="2"/>
        <v>5.1413829527910945E-2</v>
      </c>
      <c r="N29" s="20">
        <f t="shared" ca="1" si="1"/>
        <v>7593</v>
      </c>
      <c r="O29" s="29">
        <f t="shared" ca="1" si="3"/>
        <v>4.6272540571505184E-2</v>
      </c>
    </row>
    <row r="30" spans="1:16" ht="15" customHeight="1">
      <c r="A30" s="1" t="str">
        <f>'Subscriptions - Series C'!A21</f>
        <v>[Investor 3]</v>
      </c>
      <c r="B30" s="1"/>
      <c r="D30" s="1"/>
      <c r="E30" s="20"/>
      <c r="G30" s="20"/>
      <c r="H30" s="20"/>
      <c r="I30" s="20">
        <f ca="1">'Subscriptions - Series C'!G21</f>
        <v>3296</v>
      </c>
      <c r="K30" s="20">
        <f t="shared" ca="1" si="0"/>
        <v>3296</v>
      </c>
      <c r="L30" s="29">
        <f t="shared" ca="1" si="2"/>
        <v>2.2317922049781967E-2</v>
      </c>
      <c r="N30" s="20">
        <f t="shared" ca="1" si="1"/>
        <v>3296</v>
      </c>
      <c r="O30" s="29">
        <f t="shared" ca="1" si="3"/>
        <v>2.0086170647133028E-2</v>
      </c>
    </row>
    <row r="31" spans="1:16" ht="15" customHeight="1">
      <c r="A31" s="1" t="str">
        <f>'Subscriptions - Series C'!A22</f>
        <v>[Investor 4]</v>
      </c>
      <c r="B31" s="1"/>
      <c r="D31" s="1"/>
      <c r="E31" s="20"/>
      <c r="G31" s="20"/>
      <c r="H31" s="20"/>
      <c r="I31" s="20">
        <f ca="1">'Subscriptions - Series C'!G22</f>
        <v>1648</v>
      </c>
      <c r="K31" s="20">
        <f t="shared" ca="1" si="0"/>
        <v>1648</v>
      </c>
      <c r="L31" s="29">
        <f t="shared" ca="1" si="2"/>
        <v>1.1158961024890984E-2</v>
      </c>
      <c r="N31" s="20">
        <f t="shared" ca="1" si="1"/>
        <v>1648</v>
      </c>
      <c r="O31" s="29">
        <f t="shared" ca="1" si="3"/>
        <v>1.0043085323566514E-2</v>
      </c>
    </row>
    <row r="32" spans="1:16" ht="15" customHeight="1">
      <c r="A32" s="1" t="str">
        <f>'Subscriptions - Series C'!A26</f>
        <v>[Investor 5]</v>
      </c>
      <c r="B32" s="1"/>
      <c r="D32" s="1"/>
      <c r="E32" s="20"/>
      <c r="G32" s="20"/>
      <c r="H32" s="20"/>
      <c r="I32" s="20">
        <f ca="1">'Subscriptions - Series C'!G26</f>
        <v>3296</v>
      </c>
      <c r="K32" s="20">
        <f t="shared" ca="1" si="0"/>
        <v>3296</v>
      </c>
      <c r="L32" s="29">
        <f t="shared" ca="1" si="2"/>
        <v>2.2317922049781967E-2</v>
      </c>
      <c r="N32" s="20">
        <f t="shared" ca="1" si="1"/>
        <v>3296</v>
      </c>
      <c r="O32" s="29">
        <f t="shared" ca="1" si="3"/>
        <v>2.0086170647133028E-2</v>
      </c>
    </row>
    <row r="33" spans="1:16" ht="15" customHeight="1">
      <c r="A33" s="1" t="str">
        <f>'Subscriptions - Series C'!A27</f>
        <v>[Investor 6]</v>
      </c>
      <c r="B33" s="1"/>
      <c r="D33" s="1"/>
      <c r="E33" s="20"/>
      <c r="G33" s="20"/>
      <c r="H33" s="20"/>
      <c r="I33" s="20">
        <f ca="1">'Subscriptions - Series C'!G27</f>
        <v>3296</v>
      </c>
      <c r="K33" s="20">
        <f t="shared" ca="1" si="0"/>
        <v>3296</v>
      </c>
      <c r="L33" s="29">
        <f t="shared" ca="1" si="2"/>
        <v>2.2317922049781967E-2</v>
      </c>
      <c r="N33" s="20">
        <f t="shared" ca="1" si="1"/>
        <v>3296</v>
      </c>
      <c r="O33" s="29">
        <f t="shared" ca="1" si="3"/>
        <v>2.0086170647133028E-2</v>
      </c>
    </row>
    <row r="34" spans="1:16" ht="15" customHeight="1">
      <c r="A34" s="1"/>
      <c r="B34" s="1"/>
      <c r="D34" s="1"/>
      <c r="E34" s="20"/>
      <c r="G34" s="20"/>
      <c r="H34" s="20"/>
      <c r="I34" s="20"/>
      <c r="K34" s="20"/>
      <c r="L34" s="29"/>
      <c r="N34" s="20"/>
      <c r="O34" s="29"/>
      <c r="P34" s="75">
        <f ca="1">SUM(O19:O33)</f>
        <v>0.62576709548853393</v>
      </c>
    </row>
    <row r="35" spans="1:16" ht="15" customHeight="1">
      <c r="A35" s="1"/>
      <c r="B35" s="1"/>
      <c r="D35" s="1"/>
      <c r="E35" s="20"/>
      <c r="G35" s="20"/>
      <c r="H35" s="20"/>
      <c r="I35" s="20"/>
      <c r="K35" s="20"/>
      <c r="L35" s="29"/>
      <c r="N35" s="20"/>
      <c r="O35" s="29"/>
    </row>
    <row r="36" spans="1:16" ht="15" customHeight="1">
      <c r="A36" s="95" t="str">
        <f>'Current Capitalisation -XX.2024'!A24</f>
        <v>ESOP</v>
      </c>
      <c r="B36" s="1"/>
      <c r="D36" s="1"/>
      <c r="E36" s="20"/>
      <c r="G36" s="20"/>
      <c r="H36" s="20"/>
      <c r="I36" s="20"/>
      <c r="K36" s="20"/>
      <c r="L36" s="29"/>
      <c r="N36" s="20"/>
      <c r="O36" s="29"/>
    </row>
    <row r="37" spans="1:16" ht="15" customHeight="1">
      <c r="A37" s="1" t="str">
        <f>'Current Capitalisation -XX.2024'!A25</f>
        <v>Allocated</v>
      </c>
      <c r="B37" s="1"/>
      <c r="C37" s="20">
        <f>'Current Capitalisation -XX.2024'!C25</f>
        <v>7500</v>
      </c>
      <c r="D37" s="1"/>
      <c r="E37" s="20"/>
      <c r="G37" s="20"/>
      <c r="H37" s="20"/>
      <c r="I37" s="20"/>
      <c r="K37" s="20"/>
      <c r="L37" s="29"/>
      <c r="N37" s="20">
        <f t="shared" si="1"/>
        <v>7500</v>
      </c>
      <c r="O37" s="29">
        <f ca="1">N37/$N$40</f>
        <v>4.5705788790502945E-2</v>
      </c>
    </row>
    <row r="38" spans="1:16" ht="15" customHeight="1">
      <c r="A38" s="1" t="str">
        <f>'Current Capitalisation -XX.2024'!A26</f>
        <v>Unallocated</v>
      </c>
      <c r="B38" s="22"/>
      <c r="C38" s="20">
        <f ca="1">'Subscriptions - Series C'!C40+'Subscriptions - Series C'!C43</f>
        <v>8909</v>
      </c>
      <c r="D38" s="22"/>
      <c r="E38" s="20"/>
      <c r="G38" s="20"/>
      <c r="H38" s="20"/>
      <c r="I38" s="20"/>
      <c r="K38" s="20"/>
      <c r="L38" s="29"/>
      <c r="N38" s="20">
        <f t="shared" ca="1" si="1"/>
        <v>8909</v>
      </c>
      <c r="O38" s="29">
        <f ca="1">N38/$N$40</f>
        <v>5.4292382977945433E-2</v>
      </c>
    </row>
    <row r="39" spans="1:16" ht="15" customHeight="1">
      <c r="A39" s="1"/>
      <c r="B39" s="1"/>
      <c r="C39" s="1"/>
      <c r="D39" s="1"/>
      <c r="E39" s="27"/>
      <c r="F39" s="26"/>
      <c r="G39" s="26"/>
      <c r="H39" s="28"/>
      <c r="I39" s="28"/>
      <c r="J39" s="6"/>
      <c r="K39" s="6"/>
      <c r="L39" s="6"/>
      <c r="M39" s="6"/>
      <c r="N39" s="27"/>
      <c r="O39" s="7"/>
      <c r="P39" s="75">
        <f ca="1">SUM(O37:O38)</f>
        <v>9.9998171768448385E-2</v>
      </c>
    </row>
    <row r="40" spans="1:16" ht="15" customHeight="1" thickBot="1">
      <c r="A40" s="8" t="s">
        <v>10</v>
      </c>
      <c r="B40" s="8"/>
      <c r="C40" s="32">
        <f ca="1">SUM(C11:C39)</f>
        <v>16409</v>
      </c>
      <c r="D40" s="8"/>
      <c r="E40" s="32">
        <f>SUM(E11:E39)</f>
        <v>45000</v>
      </c>
      <c r="F40" s="32">
        <f>SUM(F11:F39)</f>
        <v>3000</v>
      </c>
      <c r="G40" s="32">
        <f>SUM(G11:G39)</f>
        <v>34000</v>
      </c>
      <c r="H40" s="32">
        <f>SUM(H11:H39)</f>
        <v>14000</v>
      </c>
      <c r="I40" s="32">
        <f ca="1">SUM(I11:I39)</f>
        <v>51684</v>
      </c>
      <c r="J40" s="23"/>
      <c r="K40" s="32">
        <f ca="1">SUM(K11:K39)</f>
        <v>147684</v>
      </c>
      <c r="L40" s="9">
        <f ca="1">SUM(L11:L39)</f>
        <v>1</v>
      </c>
      <c r="M40" s="23"/>
      <c r="N40" s="32">
        <f ca="1">SUM(N11:N38)</f>
        <v>164093</v>
      </c>
      <c r="O40" s="9">
        <f ca="1">SUM(O11:O38)</f>
        <v>1</v>
      </c>
    </row>
    <row r="41" spans="1:16" ht="15" customHeight="1">
      <c r="A41" s="11"/>
      <c r="B41" s="11"/>
      <c r="C41" s="11"/>
      <c r="D41" s="11"/>
      <c r="E41" s="11"/>
      <c r="F41" s="12"/>
      <c r="G41" s="12"/>
      <c r="H41" s="12"/>
      <c r="I41" s="12"/>
      <c r="J41" s="12"/>
      <c r="K41" s="12"/>
      <c r="L41" s="12"/>
      <c r="M41" s="12"/>
      <c r="N41" s="12"/>
      <c r="O41" s="10"/>
    </row>
    <row r="43" spans="1:16" ht="15" customHeight="1">
      <c r="A43" s="1"/>
    </row>
    <row r="44" spans="1:16" ht="15" customHeight="1">
      <c r="A44" s="14"/>
      <c r="B44" s="14"/>
      <c r="C44" s="14"/>
      <c r="D44" s="14"/>
      <c r="E44" s="14"/>
      <c r="F44" s="14"/>
      <c r="G44" s="14"/>
      <c r="H44" s="14"/>
      <c r="I44" s="263"/>
      <c r="J44" s="14"/>
      <c r="K44" s="14"/>
      <c r="L44" s="14"/>
      <c r="M44" s="14"/>
      <c r="N44" s="263"/>
    </row>
    <row r="45" spans="1:16" ht="15" customHeight="1">
      <c r="I45" s="20"/>
      <c r="N45" s="20"/>
    </row>
    <row r="46" spans="1:16" ht="15" customHeight="1">
      <c r="N46" s="20"/>
      <c r="O46" s="10"/>
    </row>
    <row r="47" spans="1:16" ht="15" customHeight="1">
      <c r="I47" s="20"/>
      <c r="N47" s="20"/>
      <c r="O47" s="10"/>
    </row>
    <row r="48" spans="1:16" ht="15" customHeight="1">
      <c r="N48" s="20"/>
      <c r="O48" s="10"/>
    </row>
    <row r="49" spans="14:15" ht="15" customHeight="1">
      <c r="N49" s="20"/>
      <c r="O49" s="1"/>
    </row>
    <row r="50" spans="14:15" ht="15" customHeight="1">
      <c r="N50" s="20"/>
    </row>
    <row r="52" spans="14:15" ht="15" customHeight="1">
      <c r="N52" s="20"/>
    </row>
  </sheetData>
  <mergeCells count="4">
    <mergeCell ref="J1:O5"/>
    <mergeCell ref="A7:A8"/>
    <mergeCell ref="K7:L7"/>
    <mergeCell ref="N7:O7"/>
  </mergeCells>
  <pageMargins left="0.7" right="0.7" top="0.78740157499999996" bottom="0.78740157499999996" header="0.3" footer="0.3"/>
  <pageSetup paperSize="8"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MS Document" ma:contentTypeID="0x010100C48EB0EC426CA94580DEF3C6E2389E3D008CD266C1125BE34D94106F329C927B96" ma:contentTypeVersion="6" ma:contentTypeDescription="Ein neues Dokument erstellen." ma:contentTypeScope="" ma:versionID="77afb673a1e54356017f0ed8f54f814d">
  <xsd:schema xmlns:xsd="http://www.w3.org/2001/XMLSchema" xmlns:xs="http://www.w3.org/2001/XMLSchema" xmlns:p="http://schemas.microsoft.com/office/2006/metadata/properties" xmlns:ns2="31dd97fb-e7b1-4361-b640-1f40efae1ae5" xmlns:ns3="1d785b13-7350-4401-8943-020de85ae22f" targetNamespace="http://schemas.microsoft.com/office/2006/metadata/properties" ma:root="true" ma:fieldsID="747d922277c3532eef64690af36fd0ce" ns2:_="" ns3:_="">
    <xsd:import namespace="31dd97fb-e7b1-4361-b640-1f40efae1ae5"/>
    <xsd:import namespace="1d785b13-7350-4401-8943-020de85ae22f"/>
    <xsd:element name="properties">
      <xsd:complexType>
        <xsd:sequence>
          <xsd:element name="documentManagement">
            <xsd:complexType>
              <xsd:all>
                <xsd:element ref="ns2:ClientCode" minOccurs="0"/>
                <xsd:element ref="ns2:ClientName" minOccurs="0"/>
                <xsd:element ref="ns2:MatterCode" minOccurs="0"/>
                <xsd:element ref="ns2:MatterName" minOccurs="0"/>
                <xsd:element ref="ns2:DocAuthor" minOccurs="0"/>
                <xsd:element ref="ns2:ExtranetURL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d97fb-e7b1-4361-b640-1f40efae1ae5" elementFormDefault="qualified">
    <xsd:import namespace="http://schemas.microsoft.com/office/2006/documentManagement/types"/>
    <xsd:import namespace="http://schemas.microsoft.com/office/infopath/2007/PartnerControls"/>
    <xsd:element name="ClientCode" ma:index="8" nillable="true" ma:displayName="ClientCode" ma:default="1929" ma:internalName="ClientCode" ma:readOnly="false">
      <xsd:simpleType>
        <xsd:restriction base="dms:Text"/>
      </xsd:simpleType>
    </xsd:element>
    <xsd:element name="ClientName" ma:index="9" nillable="true" ma:displayName="ClientName" ma:default="468 Capital GmbH &amp; Co. KG" ma:internalName="ClientName" ma:readOnly="false">
      <xsd:simpleType>
        <xsd:restriction base="dms:Text"/>
      </xsd:simpleType>
    </xsd:element>
    <xsd:element name="MatterCode" ma:index="10" nillable="true" ma:displayName="MatterCode" ma:default="20191008" ma:internalName="MatterCode" ma:readOnly="false">
      <xsd:simpleType>
        <xsd:restriction base="dms:Text"/>
      </xsd:simpleType>
    </xsd:element>
    <xsd:element name="MatterName" ma:index="11" nillable="true" ma:displayName="MatterName" ma:default="Rechtliche Beratung (Transaktionsbereich)" ma:internalName="MatterName" ma:readOnly="false">
      <xsd:simpleType>
        <xsd:restriction base="dms:Text"/>
      </xsd:simpleType>
    </xsd:element>
    <xsd:element name="DocAuthor" ma:index="12" nillable="true" ma:displayName="DocAuthor" ma:internalName="Doc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ranetURL" ma:index="13" nillable="true" ma:displayName="ExtranetURL" ma:hidden="true" ma:internalName="ExtranetURL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785b13-7350-4401-8943-020de85ae22f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ientName xmlns="31dd97fb-e7b1-4361-b640-1f40efae1ae5">468 Capital GmbH &amp; Co. KG</ClientName>
    <MatterName xmlns="31dd97fb-e7b1-4361-b640-1f40efae1ae5">Rechtliche Beratung (Transaktionsbereich)</MatterName>
    <DocAuthor xmlns="31dd97fb-e7b1-4361-b640-1f40efae1ae5">
      <UserInfo>
        <DisplayName/>
        <AccountId xsi:nil="true"/>
        <AccountType/>
      </UserInfo>
    </DocAuthor>
    <MatterCode xmlns="31dd97fb-e7b1-4361-b640-1f40efae1ae5">20191008</MatterCode>
    <ExtranetURL xmlns="31dd97fb-e7b1-4361-b640-1f40efae1ae5" xsi:nil="true"/>
    <ClientCode xmlns="31dd97fb-e7b1-4361-b640-1f40efae1ae5">1929</ClientCode>
    <_dlc_DocId xmlns="1d785b13-7350-4401-8943-020de85ae22f">DMS005-1626405608-96</_dlc_DocId>
    <_dlc_DocIdUrl xmlns="1d785b13-7350-4401-8943-020de85ae22f">
      <Url>https://lawsmp.sharepoint.com/sites/DMS005/20191008/_layouts/15/DocIdRedir.aspx?ID=DMS005-1626405608-96</Url>
      <Description>DMS005-1626405608-96</Description>
    </_dlc_DocIdUrl>
  </documentManagement>
</p:properties>
</file>

<file path=customXml/item4.xml>��< ? x m l   v e r s i o n = " 1 . 0 "   e n c o d i n g = " u t f - 1 6 " ? > < p r o p e r t i e s   x m l n s = " h t t p : / / w w w . i m a n a g e . c o m / w o r k / x m l s c h e m a " >  
     < d o c u m e n t i d > G E R M A N Y ! 8 3 7 4 8 3 2 . 4 < / d o c u m e n t i d >  
     < s e n d e r i d > J O A N N A . C H U D Z I N S K I < / s e n d e r i d >  
     < s e n d e r e m a i l > J O A N N A . C H U D Z I N S K I @ O S B O R N E C L A R K E . C O M < / s e n d e r e m a i l >  
     < l a s t m o d i f i e d > 2 0 2 3 - 1 2 - 2 2 T 1 1 : 3 7 : 1 1 . 0 0 0 0 0 0 0 + 0 1 : 0 0 < / l a s t m o d i f i e d >  
     < d a t a b a s e > G E R M A N Y < / d a t a b a s e >  
 < / p r o p e r t i e s > 
</file>

<file path=customXml/item5.xml><?xml version="1.0" encoding="utf-8"?>
<?mso-contentType ?>
<SharedContentType xmlns="Microsoft.SharePoint.Taxonomy.ContentTypeSync" SourceId="85a4f433-3fc6-464c-a1cf-5893fe937f70" ContentTypeId="0x010100C48EB0EC426CA94580DEF3C6E2389E3D" PreviousValue="false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7C7C74A-345F-41D9-8FC8-43AD078FF8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dd97fb-e7b1-4361-b640-1f40efae1ae5"/>
    <ds:schemaRef ds:uri="1d785b13-7350-4401-8943-020de85ae2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86C88A-E87D-4A5E-AF5D-C73FCBE5F7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BAE7FF-5647-4EAB-8440-12B3AB801B5B}">
  <ds:schemaRefs>
    <ds:schemaRef ds:uri="http://schemas.microsoft.com/office/infopath/2007/PartnerControls"/>
    <ds:schemaRef ds:uri="http://www.w3.org/XML/1998/namespace"/>
    <ds:schemaRef ds:uri="31dd97fb-e7b1-4361-b640-1f40efae1ae5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1d785b13-7350-4401-8943-020de85ae22f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CA6D657-BDBE-4FB6-8227-D5A5ED9E83C3}">
  <ds:schemaRefs>
    <ds:schemaRef ds:uri="http://www.imanage.com/work/xmlschema"/>
  </ds:schemaRefs>
</ds:datastoreItem>
</file>

<file path=customXml/itemProps5.xml><?xml version="1.0" encoding="utf-8"?>
<ds:datastoreItem xmlns:ds="http://schemas.openxmlformats.org/officeDocument/2006/customXml" ds:itemID="{82D8AFFE-E562-494C-9527-6A5C66B40BDA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320EF26D-C1FE-49CC-89BF-6B1C4A8627E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HOW TO USE</vt:lpstr>
      <vt:lpstr>Current Capitalisation -XX.2024</vt:lpstr>
      <vt:lpstr>VESOP + Reverse Vesting</vt:lpstr>
      <vt:lpstr>Vesting Schedule </vt:lpstr>
      <vt:lpstr>Subscriptions - Series C</vt:lpstr>
      <vt:lpstr>CLA Conversion</vt:lpstr>
      <vt:lpstr>Warrant</vt:lpstr>
      <vt:lpstr>Secondary</vt:lpstr>
      <vt:lpstr>Post Completion</vt:lpstr>
      <vt:lpstr>Anti-dilution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Benedikt Hülsmann</dc:creator>
  <cp:lastModifiedBy>OC</cp:lastModifiedBy>
  <dcterms:created xsi:type="dcterms:W3CDTF">2018-07-31T07:56:46Z</dcterms:created>
  <dcterms:modified xsi:type="dcterms:W3CDTF">2024-03-12T10:38:04Z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0x010100C48EB0EC426CA94580DEF3C6E2389E3D008CD266C1125BE34D94106F329C927B96</vt:lpwstr>
  </property>
  <property fmtid="{D5CDD505-2E9C-101B-9397-08002B2CF9AE}" pid="3" name="_dlc_DocIdItemGuid">
    <vt:lpwstr>3b4dfc1d-67b4-480f-8c16-100475875114</vt:lpwstr>
  </property>
  <property fmtid="{D5CDD505-2E9C-101B-9397-08002B2CF9AE}" pid="4" name="Sender name">
    <vt:lpwstr/>
  </property>
  <property fmtid="{D5CDD505-2E9C-101B-9397-08002B2CF9AE}" pid="5" name="Sent representing e-mail address">
    <vt:lpwstr/>
  </property>
  <property fmtid="{D5CDD505-2E9C-101B-9397-08002B2CF9AE}" pid="6" name="Topic">
    <vt:lpwstr>outsmart.ai Cap Table -OC- 22.07.2020.XLSX</vt:lpwstr>
  </property>
  <property fmtid="{D5CDD505-2E9C-101B-9397-08002B2CF9AE}" pid="7" name="Conversation topic">
    <vt:lpwstr>outsmart.ai Cap Table -OC- 22.07.2020.XLSX</vt:lpwstr>
  </property>
  <property fmtid="{D5CDD505-2E9C-101B-9397-08002B2CF9AE}" pid="8" name="Message delivery time">
    <vt:filetime>2020-07-23T08:15:08Z</vt:filetime>
  </property>
  <property fmtid="{D5CDD505-2E9C-101B-9397-08002B2CF9AE}" pid="9" name="Transport message headers">
    <vt:lpwstr/>
  </property>
  <property fmtid="{D5CDD505-2E9C-101B-9397-08002B2CF9AE}" pid="10" name="BCC">
    <vt:lpwstr/>
  </property>
  <property fmtid="{D5CDD505-2E9C-101B-9397-08002B2CF9AE}" pid="11" name="SMTPCC">
    <vt:lpwstr/>
  </property>
  <property fmtid="{D5CDD505-2E9C-101B-9397-08002B2CF9AE}" pid="12" name="Received by address type">
    <vt:lpwstr/>
  </property>
  <property fmtid="{D5CDD505-2E9C-101B-9397-08002B2CF9AE}" pid="13" name="SMTPTo">
    <vt:lpwstr/>
  </property>
  <property fmtid="{D5CDD505-2E9C-101B-9397-08002B2CF9AE}" pid="14" name="Received by name">
    <vt:lpwstr/>
  </property>
  <property fmtid="{D5CDD505-2E9C-101B-9397-08002B2CF9AE}" pid="15" name="CC">
    <vt:lpwstr/>
  </property>
  <property fmtid="{D5CDD505-2E9C-101B-9397-08002B2CF9AE}" pid="16" name="Internet message id">
    <vt:lpwstr/>
  </property>
  <property fmtid="{D5CDD505-2E9C-101B-9397-08002B2CF9AE}" pid="17" name="Sender address type">
    <vt:lpwstr/>
  </property>
  <property fmtid="{D5CDD505-2E9C-101B-9397-08002B2CF9AE}" pid="18" name="Has attachment">
    <vt:bool>true</vt:bool>
  </property>
  <property fmtid="{D5CDD505-2E9C-101B-9397-08002B2CF9AE}" pid="19" name="Received representing name">
    <vt:lpwstr/>
  </property>
  <property fmtid="{D5CDD505-2E9C-101B-9397-08002B2CF9AE}" pid="20" name="To">
    <vt:lpwstr/>
  </property>
  <property fmtid="{D5CDD505-2E9C-101B-9397-08002B2CF9AE}" pid="21" name="Received by e-mail address">
    <vt:lpwstr/>
  </property>
  <property fmtid="{D5CDD505-2E9C-101B-9397-08002B2CF9AE}" pid="22" name="Message class">
    <vt:lpwstr>IPM.Document.Excel.Sheet.12</vt:lpwstr>
  </property>
  <property fmtid="{D5CDD505-2E9C-101B-9397-08002B2CF9AE}" pid="23" name="Sender e-mail address">
    <vt:lpwstr/>
  </property>
  <property fmtid="{D5CDD505-2E9C-101B-9397-08002B2CF9AE}" pid="24" name="SMTPFrom">
    <vt:lpwstr/>
  </property>
  <property fmtid="{D5CDD505-2E9C-101B-9397-08002B2CF9AE}" pid="25" name="Creation time">
    <vt:filetime>2020-07-23T16:59:49Z</vt:filetime>
  </property>
  <property fmtid="{D5CDD505-2E9C-101B-9397-08002B2CF9AE}" pid="26" name="Received representing e-mail address">
    <vt:lpwstr/>
  </property>
  <property fmtid="{D5CDD505-2E9C-101B-9397-08002B2CF9AE}" pid="27" name="Importance">
    <vt:r8>0</vt:r8>
  </property>
  <property fmtid="{D5CDD505-2E9C-101B-9397-08002B2CF9AE}" pid="28" name="Message size">
    <vt:r8>47104</vt:r8>
  </property>
  <property fmtid="{D5CDD505-2E9C-101B-9397-08002B2CF9AE}" pid="29" name="Received representing address type">
    <vt:lpwstr/>
  </property>
  <property fmtid="{D5CDD505-2E9C-101B-9397-08002B2CF9AE}" pid="30" name="Sent representing name">
    <vt:lpwstr/>
  </property>
  <property fmtid="{D5CDD505-2E9C-101B-9397-08002B2CF9AE}" pid="31" name="Sent representing address type">
    <vt:lpwstr/>
  </property>
  <property fmtid="{D5CDD505-2E9C-101B-9397-08002B2CF9AE}" pid="32" name="SMTPBCC">
    <vt:lpwstr/>
  </property>
  <property fmtid="{D5CDD505-2E9C-101B-9397-08002B2CF9AE}" pid="33" name="Sensitivity">
    <vt:r8>0</vt:r8>
  </property>
  <property fmtid="{D5CDD505-2E9C-101B-9397-08002B2CF9AE}" pid="34" name="Internet CPID">
    <vt:r8>28591</vt:r8>
  </property>
</Properties>
</file>